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codeName="ThisWorkbook"/>
  <mc:AlternateContent xmlns:mc="http://schemas.openxmlformats.org/markup-compatibility/2006">
    <mc:Choice Requires="x15">
      <x15ac:absPath xmlns:x15ac="http://schemas.microsoft.com/office/spreadsheetml/2010/11/ac" url="I:\Pravni\DPL\TOMÁŠ\_106\2022\220530 Gryc, modernizace žst. Adamov\"/>
    </mc:Choice>
  </mc:AlternateContent>
  <xr:revisionPtr revIDLastSave="0" documentId="8_{FF5B2943-92A3-4A6B-A8EA-5FC325905DA8}" xr6:coauthVersionLast="47" xr6:coauthVersionMax="47" xr10:uidLastSave="{00000000-0000-0000-0000-000000000000}"/>
  <bookViews>
    <workbookView xWindow="2820" yWindow="3090" windowWidth="21600" windowHeight="11835" tabRatio="941" xr2:uid="{00000000-000D-0000-FFFF-FFFF00000000}"/>
  </bookViews>
  <sheets>
    <sheet name="0 Úvod" sheetId="46" r:id="rId1"/>
    <sheet name="1 CIN" sheetId="4" r:id="rId2"/>
    <sheet name="2 ZH" sheetId="6" r:id="rId3"/>
    <sheet name="3 PN infrastruktury" sheetId="24" r:id="rId4"/>
    <sheet name="4 PN vozidel" sheetId="53" r:id="rId5"/>
    <sheet name="5 Úspory času" sheetId="55" r:id="rId6"/>
    <sheet name="6 Externality" sheetId="56" r:id="rId7"/>
    <sheet name="7 Osobní a rekreační plavba" sheetId="60" r:id="rId8"/>
    <sheet name="8 Příjmy" sheetId="22" r:id="rId9"/>
    <sheet name="9 Ostatní přínosy EA" sheetId="63" r:id="rId10"/>
    <sheet name="10 Finanční analýza (FRR_C)" sheetId="17" r:id="rId11"/>
    <sheet name="11 KF" sheetId="52" state="hidden" r:id="rId12"/>
    <sheet name="12 Ekonomická analýza (ERR)" sheetId="58" r:id="rId13"/>
    <sheet name="13 Kontrola dotací" sheetId="48" r:id="rId14"/>
    <sheet name="14 Mezera ve financování" sheetId="25" r:id="rId15"/>
    <sheet name="15 Finanční struktura" sheetId="47" r:id="rId16"/>
    <sheet name="16 Udržitelnost" sheetId="19" r:id="rId17"/>
    <sheet name="17 FRR_K" sheetId="18" r:id="rId18"/>
    <sheet name="Vstupy z HDM-4 a EXNAD" sheetId="67" r:id="rId19"/>
    <sheet name="Slovnik" sheetId="66" state="hidden" r:id="rId20"/>
    <sheet name="Změnový list" sheetId="68" state="hidden" r:id="rId21"/>
  </sheets>
  <externalReferences>
    <externalReference r:id="rId22"/>
  </externalReferences>
  <definedNames>
    <definedName name="_Ref472494490" localSheetId="2">'2 ZH'!#REF!</definedName>
    <definedName name="_Toc490165956" localSheetId="11">'11 KF'!#REF!</definedName>
    <definedName name="_Toc490165957" localSheetId="11">'11 KF'!#REF!</definedName>
    <definedName name="_Toc490165986" localSheetId="3">'3 PN infrastruktury'!$I$97</definedName>
    <definedName name="_Toc490166005" localSheetId="11">'11 KF'!#REF!</definedName>
    <definedName name="_Toc490166006" localSheetId="11">'11 KF'!#REF!</definedName>
    <definedName name="EKON.DOBA.ZIV">'[1]zbytková hodnota'!$F$13</definedName>
    <definedName name="FRČ.měsíce" localSheetId="9">IF('9 Ostatní přínosy EA'!FRPoč.měsíc="L",1,IF('9 Ostatní přínosy EA'!FRPoč.měsíc="Ú",2,IF('9 Ostatní přínosy EA'!FRPoč.měsíc="B",3,IF('9 Ostatní přínosy EA'!FRPoč.měsíc="D",4,IF('9 Ostatní přínosy EA'!FRPoč.měsíc="K",5,IF('9 Ostatní přínosy EA'!FRPoč.měsíc="Č",6,IF('9 Ostatní přínosy EA'!FRPoč.měsíc="Č",7,IF('9 Ostatní přínosy EA'!FRPoč.měsíc="S",8,IF('9 Ostatní přínosy EA'!FRPoč.měsíc="Z",9,IF('9 Ostatní přínosy EA'!FRPoč.měsíc="Ř",10,IF('9 Ostatní přínosy EA'!FRPoč.měsíc="L",11,12)))))))))))</definedName>
    <definedName name="FRČ.měsíce" localSheetId="19">IF(Slovnik!FRPoč.měsíc="L",1,IF(Slovnik!FRPoč.měsíc="Ú",2,IF(Slovnik!FRPoč.měsíc="B",3,IF(Slovnik!FRPoč.měsíc="D",4,IF(Slovnik!FRPoč.měsíc="K",5,IF(Slovnik!FRPoč.měsíc="Č",6,IF(Slovnik!FRPoč.měsíc="Č",7,IF(Slovnik!FRPoč.měsíc="S",8,IF(Slovnik!FRPoč.měsíc="Z",9,IF(Slovnik!FRPoč.měsíc="Ř",10,IF(Slovnik!FRPoč.měsíc="L",11,12)))))))))))</definedName>
    <definedName name="FRČ.měsíce">IF(FRPoč.měsíc="L",1,IF(FRPoč.měsíc="Ú",2,IF(FRPoč.měsíc="B",3,IF(FRPoč.měsíc="D",4,IF(FRPoč.měsíc="K",5,IF(FRPoč.měsíc="Č",6,IF(FRPoč.měsíc="Č",7,IF(FRPoč.měsíc="S",8,IF(FRPoč.měsíc="Z",9,IF(FRPoč.měsíc="Ř",10,IF(FRPoč.měsíc="L",11,12)))))))))))</definedName>
    <definedName name="FRPoč.měsíc" localSheetId="9">#REF!</definedName>
    <definedName name="FRPoč.měsíc" localSheetId="19">#REF!</definedName>
    <definedName name="FRPoč.měsíc">#REF!</definedName>
    <definedName name="FRPoč.rok" localSheetId="9">#REF!</definedName>
    <definedName name="FRPoč.rok" localSheetId="19">#REF!</definedName>
    <definedName name="FRPoč.rok">#REF!</definedName>
    <definedName name="_xlnm.Print_Area" localSheetId="0">'0 Úvod'!$A$1:$P$70</definedName>
    <definedName name="_xlnm.Print_Area" localSheetId="1">'1 CIN'!$A$1:$V$64</definedName>
    <definedName name="_xlnm.Print_Area" localSheetId="10">'10 Finanční analýza (FRR_C)'!$A$1:$T$31</definedName>
    <definedName name="_xlnm.Print_Area" localSheetId="11">'11 KF'!$A$1:$M$144</definedName>
    <definedName name="_xlnm.Print_Area" localSheetId="12">'12 Ekonomická analýza (ERR)'!$A$1:$U$50</definedName>
    <definedName name="_xlnm.Print_Area" localSheetId="13">'13 Kontrola dotací'!$A$1:$T$45</definedName>
    <definedName name="_xlnm.Print_Area" localSheetId="14">'14 Mezera ve financování'!$A$1:$T$35</definedName>
    <definedName name="_xlnm.Print_Area" localSheetId="15">'15 Finanční struktura'!$A$1:$T$66</definedName>
    <definedName name="_xlnm.Print_Area" localSheetId="16">'16 Udržitelnost'!$A$1:$T$35</definedName>
    <definedName name="_xlnm.Print_Area" localSheetId="17">'17 FRR_K'!$A$1:$T$29</definedName>
    <definedName name="_xlnm.Print_Area" localSheetId="2">'2 ZH'!$A$1:$K$52</definedName>
    <definedName name="_xlnm.Print_Area" localSheetId="3">'3 PN infrastruktury'!$A$1:$T$86</definedName>
    <definedName name="_xlnm.Print_Area" localSheetId="4">'4 PN vozidel'!$A$1:$T$80</definedName>
    <definedName name="_xlnm.Print_Area" localSheetId="5">'5 Úspory času'!$A$1:$T$77</definedName>
    <definedName name="_xlnm.Print_Area" localSheetId="6">'6 Externality'!$A$1:$T$168</definedName>
    <definedName name="_xlnm.Print_Area" localSheetId="7">'7 Osobní a rekreační plavba'!$A$1:$T$60</definedName>
    <definedName name="_xlnm.Print_Area" localSheetId="8">'8 Příjmy'!$A$1:$T$50</definedName>
    <definedName name="_xlnm.Print_Area" localSheetId="9">'9 Ostatní přínosy EA'!$A$1:$T$37</definedName>
    <definedName name="_xlnm.Print_Area" localSheetId="19">Slovnik!$B$1:$G$4</definedName>
    <definedName name="PINFRA">'10 Finanční analýza (FRR_C)'!$S$29</definedName>
    <definedName name="PNINFRA" localSheetId="19">'10 Finanční analýza (FRR_C)'!$U$3:$U$5</definedName>
    <definedName name="PNINFRA">'10 Finanční analýza (FRR_C)'!$U$3:$U$6</definedName>
    <definedName name="PNVOZIDLA" localSheetId="19">'10 Finanční analýza (FRR_C)'!$V$3:$V$7</definedName>
    <definedName name="PNVOZIDLA">'10 Finanční analýza (FRR_C)'!$V$3:$V$8</definedName>
    <definedName name="SAZBA">'14 Mezera ve financování'!$U$40:$U$41</definedName>
    <definedName name="SLOVNIK">Slovnik!$C$2:$D$2</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9" i="4" l="1"/>
  <c r="G5" i="4"/>
  <c r="F90" i="55" l="1"/>
  <c r="F89" i="55"/>
  <c r="F88" i="55"/>
  <c r="F87" i="55"/>
  <c r="F86" i="55"/>
  <c r="F85" i="55"/>
  <c r="F84" i="55"/>
  <c r="F83" i="55"/>
  <c r="F96" i="55"/>
  <c r="F95" i="55"/>
  <c r="F94" i="55"/>
  <c r="F93" i="55"/>
  <c r="F92" i="55"/>
  <c r="F82" i="55"/>
  <c r="F81" i="55"/>
  <c r="E146" i="55"/>
  <c r="E145" i="55"/>
  <c r="E15" i="58"/>
  <c r="Q13" i="22"/>
  <c r="Q96" i="53"/>
  <c r="U35" i="24"/>
  <c r="V35" i="24" s="1"/>
  <c r="U36" i="24"/>
  <c r="U37" i="24"/>
  <c r="V37" i="24" s="1"/>
  <c r="U34" i="24"/>
  <c r="V34" i="24" s="1"/>
  <c r="E524" i="56"/>
  <c r="I226" i="56"/>
  <c r="H226" i="56"/>
  <c r="I225" i="56"/>
  <c r="H225" i="56"/>
  <c r="I224" i="56"/>
  <c r="H224" i="56"/>
  <c r="G224" i="56"/>
  <c r="F224" i="56"/>
  <c r="E224" i="56"/>
  <c r="D224" i="56"/>
  <c r="F212" i="56"/>
  <c r="F211" i="56"/>
  <c r="F210" i="56"/>
  <c r="F209" i="56"/>
  <c r="F208" i="56"/>
  <c r="F207" i="56"/>
  <c r="F189" i="56"/>
  <c r="F188" i="56"/>
  <c r="F187" i="56"/>
  <c r="F186" i="56"/>
  <c r="F185" i="56"/>
  <c r="F184" i="56"/>
  <c r="F183" i="56"/>
  <c r="F182" i="56"/>
  <c r="V32" i="53"/>
  <c r="U32" i="53"/>
  <c r="U33" i="53"/>
  <c r="U34" i="53"/>
  <c r="O44" i="53" s="1"/>
  <c r="U31" i="53"/>
  <c r="V31" i="53" s="1"/>
  <c r="P44" i="53"/>
  <c r="J44" i="53"/>
  <c r="Q41" i="53"/>
  <c r="M32" i="53"/>
  <c r="L32" i="53"/>
  <c r="S17" i="53"/>
  <c r="R17" i="53"/>
  <c r="Q17" i="53"/>
  <c r="P17" i="53"/>
  <c r="O17" i="53"/>
  <c r="N17" i="53"/>
  <c r="M17" i="53"/>
  <c r="L17" i="53"/>
  <c r="K17" i="53"/>
  <c r="J17" i="53"/>
  <c r="I17" i="53"/>
  <c r="H17" i="53"/>
  <c r="G17" i="53"/>
  <c r="F17" i="53"/>
  <c r="E17" i="53"/>
  <c r="Q16" i="53"/>
  <c r="S5" i="53"/>
  <c r="R5" i="53"/>
  <c r="Q5" i="53"/>
  <c r="P5" i="53"/>
  <c r="O5" i="53"/>
  <c r="N5" i="53"/>
  <c r="M5" i="53"/>
  <c r="L5" i="53"/>
  <c r="K5" i="53"/>
  <c r="J5" i="53"/>
  <c r="G4" i="53"/>
  <c r="Q121" i="53"/>
  <c r="Q28" i="22" s="1"/>
  <c r="G84" i="53"/>
  <c r="G6" i="22" s="1"/>
  <c r="G48" i="24" l="1"/>
  <c r="F48" i="24"/>
  <c r="E48" i="24"/>
  <c r="S35" i="24"/>
  <c r="S48" i="24"/>
  <c r="R35" i="24"/>
  <c r="R48" i="24"/>
  <c r="Q35" i="24"/>
  <c r="O35" i="24"/>
  <c r="Q48" i="24"/>
  <c r="P35" i="24"/>
  <c r="P48" i="24"/>
  <c r="O48" i="24"/>
  <c r="N35" i="24"/>
  <c r="N48" i="24"/>
  <c r="M35" i="24"/>
  <c r="M48" i="24"/>
  <c r="L35" i="24"/>
  <c r="L48" i="24"/>
  <c r="K35" i="24"/>
  <c r="K48" i="24"/>
  <c r="J35" i="24"/>
  <c r="J48" i="24"/>
  <c r="I48" i="24"/>
  <c r="H48" i="24"/>
  <c r="S32" i="53"/>
  <c r="G4" i="63"/>
  <c r="V34" i="53"/>
  <c r="Q43" i="53"/>
  <c r="H44" i="53"/>
  <c r="I44" i="53"/>
  <c r="K44" i="53"/>
  <c r="L44" i="53"/>
  <c r="Q44" i="53"/>
  <c r="G6" i="53"/>
  <c r="J32" i="53"/>
  <c r="R44" i="53"/>
  <c r="K32" i="53"/>
  <c r="S44" i="53"/>
  <c r="Q18" i="53"/>
  <c r="Q32" i="53"/>
  <c r="R32" i="53"/>
  <c r="G35" i="24"/>
  <c r="O32" i="53"/>
  <c r="F44" i="53"/>
  <c r="N44" i="53"/>
  <c r="N32" i="53"/>
  <c r="E44" i="53"/>
  <c r="M44" i="53"/>
  <c r="P32" i="53"/>
  <c r="G44" i="53"/>
  <c r="F4" i="48"/>
  <c r="G4" i="48"/>
  <c r="H4" i="48"/>
  <c r="I4" i="48"/>
  <c r="J4" i="48"/>
  <c r="K4" i="48"/>
  <c r="L4" i="48"/>
  <c r="M4" i="48"/>
  <c r="N4" i="48"/>
  <c r="O4" i="48"/>
  <c r="P4" i="48"/>
  <c r="Q4" i="48"/>
  <c r="R4" i="48"/>
  <c r="S4" i="48"/>
  <c r="E4" i="48"/>
  <c r="F11" i="48"/>
  <c r="G11" i="48"/>
  <c r="H11" i="48"/>
  <c r="I11" i="48"/>
  <c r="J11" i="48"/>
  <c r="K11" i="48"/>
  <c r="L11" i="48"/>
  <c r="M11" i="48"/>
  <c r="N11" i="48"/>
  <c r="O11" i="48"/>
  <c r="P11" i="48"/>
  <c r="Q11" i="48"/>
  <c r="R11" i="48"/>
  <c r="S11" i="48"/>
  <c r="E11" i="48"/>
  <c r="D502" i="56" l="1"/>
  <c r="C19" i="63"/>
  <c r="C27" i="63" s="1"/>
  <c r="C75" i="24" l="1"/>
  <c r="C74" i="24"/>
  <c r="C62" i="24"/>
  <c r="C61" i="24"/>
  <c r="H24" i="19" l="1"/>
  <c r="I24" i="19"/>
  <c r="J24" i="19"/>
  <c r="K24" i="19"/>
  <c r="L24" i="19"/>
  <c r="M24" i="19"/>
  <c r="N24" i="19"/>
  <c r="O24" i="19"/>
  <c r="P24" i="19"/>
  <c r="Q24" i="19"/>
  <c r="R24" i="19"/>
  <c r="S24" i="19"/>
  <c r="H25" i="19"/>
  <c r="I25" i="19"/>
  <c r="J25" i="19"/>
  <c r="K25" i="19"/>
  <c r="L25" i="19"/>
  <c r="M25" i="19"/>
  <c r="N25" i="19"/>
  <c r="O25" i="19"/>
  <c r="P25" i="19"/>
  <c r="Q25" i="19"/>
  <c r="R25" i="19"/>
  <c r="S25" i="19"/>
  <c r="C50" i="25" l="1"/>
  <c r="C249" i="56"/>
  <c r="C280" i="56"/>
  <c r="I53" i="25" l="1"/>
  <c r="T48" i="58"/>
  <c r="S31" i="17"/>
  <c r="C8" i="24" l="1"/>
  <c r="C35" i="24"/>
  <c r="C7" i="24"/>
  <c r="C34" i="24"/>
  <c r="C47" i="24"/>
  <c r="C20" i="24"/>
  <c r="C48" i="24"/>
  <c r="C21" i="24"/>
  <c r="J30" i="25"/>
  <c r="H52" i="25"/>
  <c r="C41" i="25"/>
  <c r="C42" i="25"/>
  <c r="C43" i="25"/>
  <c r="C44" i="25"/>
  <c r="C45" i="25"/>
  <c r="C46" i="25"/>
  <c r="C47" i="25"/>
  <c r="C48" i="25"/>
  <c r="C49" i="25"/>
  <c r="C40" i="25"/>
  <c r="C39" i="25"/>
  <c r="H39" i="25"/>
  <c r="F39" i="25"/>
  <c r="H44" i="25"/>
  <c r="I20" i="46"/>
  <c r="F40" i="25" l="1"/>
  <c r="S74" i="24" l="1"/>
  <c r="R74" i="24"/>
  <c r="Q74" i="24"/>
  <c r="P74" i="24"/>
  <c r="O74" i="24"/>
  <c r="N74" i="24"/>
  <c r="M74" i="24"/>
  <c r="L74" i="24"/>
  <c r="K74" i="24"/>
  <c r="J74" i="24"/>
  <c r="I74" i="24"/>
  <c r="H74" i="24"/>
  <c r="G74" i="24"/>
  <c r="F74" i="24"/>
  <c r="E74" i="24"/>
  <c r="S61" i="24"/>
  <c r="R61" i="24"/>
  <c r="Q61" i="24"/>
  <c r="P61" i="24"/>
  <c r="O61" i="24"/>
  <c r="N61" i="24"/>
  <c r="M61" i="24"/>
  <c r="L61" i="24"/>
  <c r="K61" i="24"/>
  <c r="J61" i="24"/>
  <c r="I61" i="24"/>
  <c r="H61" i="24"/>
  <c r="G61" i="24"/>
  <c r="F61" i="24"/>
  <c r="E61" i="24"/>
  <c r="V293" i="56" l="1"/>
  <c r="V262" i="56"/>
  <c r="V292" i="56"/>
  <c r="V261" i="56"/>
  <c r="V291" i="56"/>
  <c r="V260" i="56"/>
  <c r="V290" i="56"/>
  <c r="V259" i="56"/>
  <c r="V288" i="56"/>
  <c r="V257" i="56"/>
  <c r="V286" i="56"/>
  <c r="V255" i="56"/>
  <c r="V284" i="56"/>
  <c r="V253" i="56"/>
  <c r="V282" i="56"/>
  <c r="V251" i="56"/>
  <c r="U280" i="56"/>
  <c r="U249" i="56"/>
  <c r="V280" i="56"/>
  <c r="V249" i="56"/>
  <c r="C33" i="58" l="1"/>
  <c r="C29" i="58"/>
  <c r="C11" i="58"/>
  <c r="C7" i="58"/>
  <c r="E145" i="56" l="1"/>
  <c r="E144" i="56" l="1"/>
  <c r="E143" i="56"/>
  <c r="E142" i="56" l="1"/>
  <c r="E8" i="55"/>
  <c r="E56" i="53"/>
  <c r="F26" i="48" l="1"/>
  <c r="G26" i="48"/>
  <c r="H26" i="48"/>
  <c r="I26" i="48"/>
  <c r="J26" i="48"/>
  <c r="K26" i="48"/>
  <c r="L26" i="48"/>
  <c r="M26" i="48"/>
  <c r="N26" i="48"/>
  <c r="O26" i="48"/>
  <c r="P26" i="48"/>
  <c r="Q26" i="48"/>
  <c r="R26" i="48"/>
  <c r="S26" i="48"/>
  <c r="E26" i="48"/>
  <c r="F19" i="48"/>
  <c r="G19" i="48"/>
  <c r="H19" i="48"/>
  <c r="I19" i="48"/>
  <c r="J19" i="48"/>
  <c r="K19" i="48"/>
  <c r="L19" i="48"/>
  <c r="M19" i="48"/>
  <c r="N19" i="48"/>
  <c r="O19" i="48"/>
  <c r="P19" i="48"/>
  <c r="Q19" i="48"/>
  <c r="R19" i="48"/>
  <c r="S19" i="48"/>
  <c r="E19" i="48"/>
  <c r="B135" i="53"/>
  <c r="B121" i="22" l="1"/>
  <c r="E34" i="4" l="1"/>
  <c r="C57" i="6"/>
  <c r="H37" i="6"/>
  <c r="H36" i="6"/>
  <c r="G36" i="6"/>
  <c r="C37" i="6"/>
  <c r="C36" i="6"/>
  <c r="B36" i="6"/>
  <c r="D38" i="6"/>
  <c r="E36" i="6"/>
  <c r="E37" i="6"/>
  <c r="B161" i="55" l="1"/>
  <c r="B35" i="17"/>
  <c r="B33" i="17"/>
  <c r="E11" i="58"/>
  <c r="F72" i="53"/>
  <c r="G72" i="53"/>
  <c r="H72" i="53"/>
  <c r="I72" i="53"/>
  <c r="J72" i="53"/>
  <c r="K72" i="53"/>
  <c r="L72" i="53"/>
  <c r="M72" i="53"/>
  <c r="N72" i="53"/>
  <c r="O72" i="53"/>
  <c r="P72" i="53"/>
  <c r="Q72" i="53"/>
  <c r="R72" i="53"/>
  <c r="S72" i="53"/>
  <c r="F73" i="53"/>
  <c r="G73" i="53"/>
  <c r="H73" i="53"/>
  <c r="I73" i="53"/>
  <c r="J73" i="53"/>
  <c r="K73" i="53"/>
  <c r="L73" i="53"/>
  <c r="M73" i="53"/>
  <c r="N73" i="53"/>
  <c r="O73" i="53"/>
  <c r="P73" i="53"/>
  <c r="Q73" i="53"/>
  <c r="R73" i="53"/>
  <c r="S73" i="53"/>
  <c r="E72" i="53"/>
  <c r="E73" i="53"/>
  <c r="F60" i="53"/>
  <c r="G60" i="53"/>
  <c r="H60" i="53"/>
  <c r="I60" i="53"/>
  <c r="J60" i="53"/>
  <c r="K60" i="53"/>
  <c r="L60" i="53"/>
  <c r="M60" i="53"/>
  <c r="N60" i="53"/>
  <c r="O60" i="53"/>
  <c r="P60" i="53"/>
  <c r="Q60" i="53"/>
  <c r="R60" i="53"/>
  <c r="S60" i="53"/>
  <c r="F61" i="53"/>
  <c r="G61" i="53"/>
  <c r="H61" i="53"/>
  <c r="I61" i="53"/>
  <c r="J61" i="53"/>
  <c r="K61" i="53"/>
  <c r="L61" i="53"/>
  <c r="M61" i="53"/>
  <c r="N61" i="53"/>
  <c r="O61" i="53"/>
  <c r="P61" i="53"/>
  <c r="Q61" i="53"/>
  <c r="R61" i="53"/>
  <c r="S61" i="53"/>
  <c r="E60" i="53"/>
  <c r="E61" i="53"/>
  <c r="F49" i="53"/>
  <c r="G49" i="53"/>
  <c r="H49" i="53"/>
  <c r="I49" i="53"/>
  <c r="J49" i="53"/>
  <c r="K49" i="53"/>
  <c r="L49" i="53"/>
  <c r="M49" i="53"/>
  <c r="N49" i="53"/>
  <c r="O49" i="53"/>
  <c r="P49" i="53"/>
  <c r="Q49" i="53"/>
  <c r="R49" i="53"/>
  <c r="S49" i="53"/>
  <c r="E49" i="53"/>
  <c r="F37" i="53"/>
  <c r="G37" i="53"/>
  <c r="H37" i="53"/>
  <c r="I37" i="53"/>
  <c r="J37" i="53"/>
  <c r="K37" i="53"/>
  <c r="L37" i="53"/>
  <c r="M37" i="53"/>
  <c r="N37" i="53"/>
  <c r="O37" i="53"/>
  <c r="P37" i="53"/>
  <c r="Q37" i="53"/>
  <c r="R37" i="53"/>
  <c r="S37" i="53"/>
  <c r="E37" i="53"/>
  <c r="D35" i="53"/>
  <c r="D36" i="53"/>
  <c r="F24" i="53"/>
  <c r="G24" i="53"/>
  <c r="H24" i="53"/>
  <c r="I24" i="53"/>
  <c r="J24" i="53"/>
  <c r="K24" i="53"/>
  <c r="L24" i="53"/>
  <c r="M24" i="53"/>
  <c r="N24" i="53"/>
  <c r="O24" i="53"/>
  <c r="P24" i="53"/>
  <c r="Q24" i="53"/>
  <c r="R24" i="53"/>
  <c r="S24" i="53"/>
  <c r="E24" i="53"/>
  <c r="F12" i="53"/>
  <c r="G12" i="53"/>
  <c r="H12" i="53"/>
  <c r="I12" i="53"/>
  <c r="J12" i="53"/>
  <c r="K12" i="53"/>
  <c r="L12" i="53"/>
  <c r="M12" i="53"/>
  <c r="N12" i="53"/>
  <c r="O12" i="53"/>
  <c r="P12" i="53"/>
  <c r="Q12" i="53"/>
  <c r="R12" i="53"/>
  <c r="S12" i="53"/>
  <c r="E12" i="53"/>
  <c r="D10" i="53"/>
  <c r="D11" i="53"/>
  <c r="C73" i="53"/>
  <c r="C61" i="53"/>
  <c r="C48" i="53"/>
  <c r="C36" i="53"/>
  <c r="C23" i="53"/>
  <c r="C72" i="53"/>
  <c r="C60" i="53"/>
  <c r="C47" i="53"/>
  <c r="C35" i="53"/>
  <c r="C22" i="53"/>
  <c r="C11" i="53"/>
  <c r="C10" i="53"/>
  <c r="D61" i="53" l="1"/>
  <c r="D60" i="53"/>
  <c r="F78" i="24"/>
  <c r="G78" i="24"/>
  <c r="H78" i="24"/>
  <c r="I78" i="24"/>
  <c r="J78" i="24"/>
  <c r="K78" i="24"/>
  <c r="L78" i="24"/>
  <c r="M78" i="24"/>
  <c r="N78" i="24"/>
  <c r="O78" i="24"/>
  <c r="P78" i="24"/>
  <c r="Q78" i="24"/>
  <c r="R78" i="24"/>
  <c r="S78" i="24"/>
  <c r="F79" i="24"/>
  <c r="G79" i="24"/>
  <c r="H79" i="24"/>
  <c r="I79" i="24"/>
  <c r="J79" i="24"/>
  <c r="K79" i="24"/>
  <c r="L79" i="24"/>
  <c r="M79" i="24"/>
  <c r="N79" i="24"/>
  <c r="O79" i="24"/>
  <c r="P79" i="24"/>
  <c r="Q79" i="24"/>
  <c r="R79" i="24"/>
  <c r="S79" i="24"/>
  <c r="E78" i="24"/>
  <c r="E79" i="24"/>
  <c r="F65" i="24"/>
  <c r="G65" i="24"/>
  <c r="H65" i="24"/>
  <c r="I65" i="24"/>
  <c r="J65" i="24"/>
  <c r="K65" i="24"/>
  <c r="L65" i="24"/>
  <c r="M65" i="24"/>
  <c r="N65" i="24"/>
  <c r="O65" i="24"/>
  <c r="P65" i="24"/>
  <c r="Q65" i="24"/>
  <c r="R65" i="24"/>
  <c r="S65" i="24"/>
  <c r="F66" i="24"/>
  <c r="G66" i="24"/>
  <c r="H66" i="24"/>
  <c r="I66" i="24"/>
  <c r="J66" i="24"/>
  <c r="K66" i="24"/>
  <c r="L66" i="24"/>
  <c r="M66" i="24"/>
  <c r="N66" i="24"/>
  <c r="O66" i="24"/>
  <c r="P66" i="24"/>
  <c r="Q66" i="24"/>
  <c r="R66" i="24"/>
  <c r="S66" i="24"/>
  <c r="E65" i="24"/>
  <c r="E66" i="24"/>
  <c r="D38" i="24"/>
  <c r="D39" i="24"/>
  <c r="D11" i="24"/>
  <c r="D12" i="24"/>
  <c r="C79" i="24"/>
  <c r="C66" i="24"/>
  <c r="C52" i="24"/>
  <c r="C39" i="24"/>
  <c r="C78" i="24"/>
  <c r="C65" i="24"/>
  <c r="C51" i="24"/>
  <c r="C38" i="24"/>
  <c r="C25" i="24"/>
  <c r="C24" i="24"/>
  <c r="C12" i="24"/>
  <c r="C11" i="24"/>
  <c r="D66" i="24" l="1"/>
  <c r="D65" i="24"/>
  <c r="C75" i="46"/>
  <c r="C56" i="6" l="1"/>
  <c r="C55" i="6"/>
  <c r="C54" i="6"/>
  <c r="B52" i="48"/>
  <c r="B44" i="67" l="1"/>
  <c r="B43" i="67"/>
  <c r="B42" i="67"/>
  <c r="U4" i="67"/>
  <c r="O4" i="67"/>
  <c r="N2" i="67"/>
  <c r="T5" i="67"/>
  <c r="Z5" i="67" s="1"/>
  <c r="S5" i="67"/>
  <c r="Y5" i="67" s="1"/>
  <c r="R5" i="67"/>
  <c r="X5" i="67" s="1"/>
  <c r="Q5" i="67"/>
  <c r="W5" i="67" s="1"/>
  <c r="P5" i="67"/>
  <c r="V5" i="67" s="1"/>
  <c r="O5" i="67"/>
  <c r="U5" i="67" s="1"/>
  <c r="G7" i="67"/>
  <c r="L7" i="67" s="1"/>
  <c r="F7" i="67"/>
  <c r="K7" i="67" s="1"/>
  <c r="E7" i="67"/>
  <c r="J7" i="67" s="1"/>
  <c r="D7" i="67"/>
  <c r="I7" i="67" s="1"/>
  <c r="C7" i="67"/>
  <c r="H7" i="67" s="1"/>
  <c r="L6" i="67"/>
  <c r="G6" i="67"/>
  <c r="H6" i="67"/>
  <c r="C6" i="67"/>
  <c r="H4" i="67"/>
  <c r="C4" i="67"/>
  <c r="B2" i="67"/>
  <c r="L1" i="67"/>
  <c r="N4" i="67"/>
  <c r="B4" i="67"/>
  <c r="B40" i="67"/>
  <c r="B160" i="55" l="1"/>
  <c r="B158" i="55"/>
  <c r="B8" i="67" l="1"/>
  <c r="N8" i="67" s="1"/>
  <c r="N9" i="67" s="1"/>
  <c r="N10" i="67" s="1"/>
  <c r="N11" i="67" s="1"/>
  <c r="N12" i="67" s="1"/>
  <c r="N13" i="67" s="1"/>
  <c r="N14" i="67" s="1"/>
  <c r="N15" i="67" s="1"/>
  <c r="N16" i="67" s="1"/>
  <c r="N17" i="67" s="1"/>
  <c r="N18" i="67" s="1"/>
  <c r="N19" i="67" s="1"/>
  <c r="N20" i="67" s="1"/>
  <c r="N21" i="67" s="1"/>
  <c r="N22" i="67" s="1"/>
  <c r="N23" i="67" s="1"/>
  <c r="N24" i="67" s="1"/>
  <c r="N25" i="67" s="1"/>
  <c r="N26" i="67" s="1"/>
  <c r="N27" i="67" s="1"/>
  <c r="N28" i="67" s="1"/>
  <c r="N29" i="67" s="1"/>
  <c r="N30" i="67" s="1"/>
  <c r="N31" i="67" s="1"/>
  <c r="N32" i="67" s="1"/>
  <c r="N33" i="67" s="1"/>
  <c r="N34" i="67" s="1"/>
  <c r="N35" i="67" s="1"/>
  <c r="N36" i="67" s="1"/>
  <c r="N37" i="67" s="1"/>
  <c r="B9" i="67" l="1"/>
  <c r="B10" i="67" s="1"/>
  <c r="B11" i="67" s="1"/>
  <c r="B12" i="67" s="1"/>
  <c r="B13" i="67" s="1"/>
  <c r="B14" i="67" s="1"/>
  <c r="B15" i="67" s="1"/>
  <c r="B16" i="67" s="1"/>
  <c r="B17" i="67" s="1"/>
  <c r="B18" i="67" s="1"/>
  <c r="B19" i="67" s="1"/>
  <c r="B20" i="67" s="1"/>
  <c r="B21" i="67" s="1"/>
  <c r="B22" i="67" s="1"/>
  <c r="B23" i="67" s="1"/>
  <c r="B24" i="67" s="1"/>
  <c r="B25" i="67" s="1"/>
  <c r="B26" i="67" s="1"/>
  <c r="B27" i="67" s="1"/>
  <c r="B28" i="67" s="1"/>
  <c r="B29" i="67" s="1"/>
  <c r="B30" i="67" s="1"/>
  <c r="B31" i="67" s="1"/>
  <c r="B32" i="67" s="1"/>
  <c r="B33" i="67" s="1"/>
  <c r="B34" i="67" s="1"/>
  <c r="B35" i="67" s="1"/>
  <c r="B36" i="67" s="1"/>
  <c r="B37" i="67" s="1"/>
  <c r="C20" i="6" l="1"/>
  <c r="C3" i="66" l="1"/>
  <c r="D3" i="66"/>
  <c r="B33" i="18"/>
  <c r="B32" i="18"/>
  <c r="B30" i="18"/>
  <c r="B28" i="18"/>
  <c r="B27" i="18"/>
  <c r="B26" i="18"/>
  <c r="C12" i="18"/>
  <c r="C11" i="18"/>
  <c r="C10" i="18"/>
  <c r="C9" i="18"/>
  <c r="C8" i="18"/>
  <c r="C7" i="18"/>
  <c r="C6" i="18"/>
  <c r="C5" i="18"/>
  <c r="C4" i="18"/>
  <c r="C3" i="18"/>
  <c r="C2" i="18"/>
  <c r="C14" i="18" s="1"/>
  <c r="D3" i="19"/>
  <c r="C17" i="19"/>
  <c r="C16" i="19"/>
  <c r="C33" i="19" s="1"/>
  <c r="C15" i="19"/>
  <c r="C32" i="19" s="1"/>
  <c r="C14" i="19"/>
  <c r="C31" i="19" s="1"/>
  <c r="C13" i="19"/>
  <c r="C30" i="19" s="1"/>
  <c r="C12" i="19"/>
  <c r="C29" i="19" s="1"/>
  <c r="C11" i="19"/>
  <c r="C28" i="19" s="1"/>
  <c r="C10" i="19"/>
  <c r="C27" i="19" s="1"/>
  <c r="C9" i="19"/>
  <c r="C26" i="19" s="1"/>
  <c r="C8" i="19"/>
  <c r="C25" i="19" s="1"/>
  <c r="C7" i="19"/>
  <c r="C24" i="19" s="1"/>
  <c r="C6" i="19"/>
  <c r="C23" i="19" s="1"/>
  <c r="C5" i="19"/>
  <c r="C22" i="19" s="1"/>
  <c r="C4" i="19"/>
  <c r="C21" i="19" s="1"/>
  <c r="C3" i="19"/>
  <c r="C20" i="19" s="1"/>
  <c r="C2" i="19"/>
  <c r="C19" i="19" s="1"/>
  <c r="C34" i="19"/>
  <c r="B65" i="47"/>
  <c r="B63" i="47"/>
  <c r="C34" i="47"/>
  <c r="C49" i="47" s="1"/>
  <c r="D3" i="47"/>
  <c r="D34" i="47" s="1"/>
  <c r="D2" i="47"/>
  <c r="C15" i="47"/>
  <c r="C30" i="47" s="1"/>
  <c r="C46" i="47" s="1"/>
  <c r="C61" i="47" s="1"/>
  <c r="C14" i="47"/>
  <c r="C29" i="47" s="1"/>
  <c r="C45" i="47" s="1"/>
  <c r="C60" i="47" s="1"/>
  <c r="C13" i="47"/>
  <c r="C28" i="47" s="1"/>
  <c r="C44" i="47" s="1"/>
  <c r="C59" i="47" s="1"/>
  <c r="C12" i="47"/>
  <c r="C27" i="47" s="1"/>
  <c r="C43" i="47" s="1"/>
  <c r="C58" i="47" s="1"/>
  <c r="C11" i="47"/>
  <c r="C26" i="47" s="1"/>
  <c r="C42" i="47" s="1"/>
  <c r="C57" i="47" s="1"/>
  <c r="C10" i="47"/>
  <c r="C25" i="47" s="1"/>
  <c r="C41" i="47" s="1"/>
  <c r="C56" i="47" s="1"/>
  <c r="C9" i="47"/>
  <c r="C24" i="47" s="1"/>
  <c r="C40" i="47" s="1"/>
  <c r="C55" i="47" s="1"/>
  <c r="C8" i="47"/>
  <c r="C23" i="47" s="1"/>
  <c r="C39" i="47" s="1"/>
  <c r="C54" i="47" s="1"/>
  <c r="C7" i="47"/>
  <c r="C22" i="47" s="1"/>
  <c r="C38" i="47" s="1"/>
  <c r="C53" i="47" s="1"/>
  <c r="C6" i="47"/>
  <c r="C21" i="47" s="1"/>
  <c r="C37" i="47" s="1"/>
  <c r="C52" i="47" s="1"/>
  <c r="C5" i="47"/>
  <c r="C20" i="47" s="1"/>
  <c r="C36" i="47" s="1"/>
  <c r="C51" i="47" s="1"/>
  <c r="C4" i="47"/>
  <c r="C19" i="47" s="1"/>
  <c r="C35" i="47" s="1"/>
  <c r="C50" i="47" s="1"/>
  <c r="C3" i="47"/>
  <c r="C18" i="47" s="1"/>
  <c r="C2" i="47"/>
  <c r="C17" i="47" s="1"/>
  <c r="C33" i="47" s="1"/>
  <c r="C48" i="47" s="1"/>
  <c r="J28" i="25"/>
  <c r="J26" i="25"/>
  <c r="J24" i="25"/>
  <c r="J23" i="25"/>
  <c r="C31" i="25"/>
  <c r="C30" i="25"/>
  <c r="C28" i="25"/>
  <c r="C35" i="25" s="1"/>
  <c r="C27" i="25"/>
  <c r="C34" i="25" s="1"/>
  <c r="C26" i="25"/>
  <c r="C33" i="25" s="1"/>
  <c r="C25" i="25"/>
  <c r="C32" i="25" s="1"/>
  <c r="C24" i="25"/>
  <c r="C23" i="25"/>
  <c r="D3" i="25"/>
  <c r="C10" i="25"/>
  <c r="C20" i="25" s="1"/>
  <c r="C9" i="25"/>
  <c r="C19" i="25" s="1"/>
  <c r="C8" i="25"/>
  <c r="C18" i="25" s="1"/>
  <c r="C7" i="25"/>
  <c r="C17" i="25" s="1"/>
  <c r="C6" i="25"/>
  <c r="C16" i="25" s="1"/>
  <c r="C5" i="25"/>
  <c r="C15" i="25" s="1"/>
  <c r="C4" i="25"/>
  <c r="C14" i="25" s="1"/>
  <c r="C3" i="25"/>
  <c r="C13" i="25" s="1"/>
  <c r="C2" i="25"/>
  <c r="C12" i="25" s="1"/>
  <c r="B51" i="48"/>
  <c r="B50" i="48"/>
  <c r="B49" i="48"/>
  <c r="B47" i="48"/>
  <c r="C37" i="48"/>
  <c r="C44" i="48" s="1"/>
  <c r="C36" i="48"/>
  <c r="C43" i="48" s="1"/>
  <c r="C35" i="48"/>
  <c r="C42" i="48" s="1"/>
  <c r="C34" i="48"/>
  <c r="C41" i="48" s="1"/>
  <c r="C32" i="48"/>
  <c r="C39" i="48" s="1"/>
  <c r="C17" i="48"/>
  <c r="C24" i="48" s="1"/>
  <c r="D3" i="48"/>
  <c r="D18" i="48" s="1"/>
  <c r="D33" i="48" s="1"/>
  <c r="C7" i="48"/>
  <c r="C14" i="48" s="1"/>
  <c r="C22" i="48" s="1"/>
  <c r="C29" i="48" s="1"/>
  <c r="C6" i="48"/>
  <c r="C13" i="48" s="1"/>
  <c r="C21" i="48" s="1"/>
  <c r="C28" i="48" s="1"/>
  <c r="C5" i="48"/>
  <c r="C12" i="48" s="1"/>
  <c r="C20" i="48" s="1"/>
  <c r="C27" i="48" s="1"/>
  <c r="C4" i="48"/>
  <c r="C11" i="48" s="1"/>
  <c r="C19" i="48" s="1"/>
  <c r="C26" i="48" s="1"/>
  <c r="C2" i="48"/>
  <c r="C9" i="48" s="1"/>
  <c r="B49" i="58"/>
  <c r="B48" i="58"/>
  <c r="B47" i="58"/>
  <c r="B55" i="58"/>
  <c r="B54" i="58"/>
  <c r="B52" i="58"/>
  <c r="S47" i="58"/>
  <c r="B46" i="58"/>
  <c r="E2" i="58"/>
  <c r="D3" i="58"/>
  <c r="C2" i="58"/>
  <c r="C22" i="58"/>
  <c r="C21" i="58"/>
  <c r="C20" i="58"/>
  <c r="C19" i="58"/>
  <c r="C18" i="58"/>
  <c r="C17" i="58"/>
  <c r="C16" i="58"/>
  <c r="C15" i="58"/>
  <c r="C14" i="58"/>
  <c r="C13" i="58"/>
  <c r="C12" i="58"/>
  <c r="C10" i="58"/>
  <c r="C9" i="58"/>
  <c r="C8" i="58"/>
  <c r="C6" i="58"/>
  <c r="C5" i="58"/>
  <c r="C4" i="58"/>
  <c r="R30" i="17"/>
  <c r="R29" i="17"/>
  <c r="B148" i="52" l="1"/>
  <c r="B146" i="52"/>
  <c r="D143" i="52"/>
  <c r="D142" i="52"/>
  <c r="D141" i="52"/>
  <c r="D140" i="52"/>
  <c r="D139" i="52"/>
  <c r="D138" i="52"/>
  <c r="D137" i="52"/>
  <c r="D136" i="52"/>
  <c r="D135" i="52"/>
  <c r="D134" i="52"/>
  <c r="D133" i="52"/>
  <c r="D132" i="52"/>
  <c r="C141" i="52"/>
  <c r="C139" i="52"/>
  <c r="C135" i="52"/>
  <c r="C132" i="52"/>
  <c r="C131" i="52"/>
  <c r="C128" i="52"/>
  <c r="E114" i="52"/>
  <c r="D125" i="52"/>
  <c r="D124" i="52"/>
  <c r="D123" i="52"/>
  <c r="B123" i="52"/>
  <c r="B122" i="52"/>
  <c r="B121" i="52"/>
  <c r="B120" i="52"/>
  <c r="B119" i="52"/>
  <c r="B118" i="52"/>
  <c r="B117" i="52"/>
  <c r="B116" i="52"/>
  <c r="B115" i="52"/>
  <c r="B114" i="52"/>
  <c r="B113" i="52"/>
  <c r="C110" i="52"/>
  <c r="C109" i="52"/>
  <c r="C108" i="52"/>
  <c r="C107" i="52"/>
  <c r="C106" i="52"/>
  <c r="B105" i="52"/>
  <c r="C104" i="52"/>
  <c r="C102" i="52"/>
  <c r="C95" i="52"/>
  <c r="C99" i="52" s="1"/>
  <c r="C94" i="52"/>
  <c r="C98" i="52" s="1"/>
  <c r="C93" i="52"/>
  <c r="C97" i="52" s="1"/>
  <c r="C90" i="52"/>
  <c r="C89" i="52"/>
  <c r="C88" i="52"/>
  <c r="C87" i="52"/>
  <c r="C86" i="52"/>
  <c r="C85" i="52"/>
  <c r="B84" i="52"/>
  <c r="C83" i="52"/>
  <c r="C82" i="52"/>
  <c r="C81" i="52"/>
  <c r="C80" i="52"/>
  <c r="C79" i="52"/>
  <c r="C78" i="52"/>
  <c r="C77" i="52"/>
  <c r="C76" i="52"/>
  <c r="C75" i="52"/>
  <c r="C74" i="52"/>
  <c r="C73" i="52"/>
  <c r="C72" i="52"/>
  <c r="C71" i="52"/>
  <c r="B70" i="52"/>
  <c r="B64" i="52"/>
  <c r="B96" i="52" s="1"/>
  <c r="B103" i="52" s="1"/>
  <c r="C63" i="52"/>
  <c r="C69" i="52" s="1"/>
  <c r="C62" i="52"/>
  <c r="C68" i="52" s="1"/>
  <c r="C61" i="52"/>
  <c r="C67" i="52" s="1"/>
  <c r="C60" i="52"/>
  <c r="C66" i="52" s="1"/>
  <c r="C59" i="52"/>
  <c r="C65" i="52" s="1"/>
  <c r="C54" i="52"/>
  <c r="B58" i="52"/>
  <c r="B92" i="52" s="1"/>
  <c r="B101" i="52" s="1"/>
  <c r="C24" i="18" l="1"/>
  <c r="C23" i="18"/>
  <c r="C22" i="18"/>
  <c r="C21" i="18"/>
  <c r="C20" i="18"/>
  <c r="C19" i="18"/>
  <c r="C18" i="18"/>
  <c r="C17" i="18"/>
  <c r="C16" i="18"/>
  <c r="C15" i="18"/>
  <c r="D11" i="18"/>
  <c r="E2" i="18"/>
  <c r="F2" i="18" s="1"/>
  <c r="G2" i="18" s="1"/>
  <c r="H2" i="18" s="1"/>
  <c r="I2" i="18" s="1"/>
  <c r="J2" i="18" s="1"/>
  <c r="K2" i="18" s="1"/>
  <c r="L2" i="18" s="1"/>
  <c r="M2" i="18" s="1"/>
  <c r="N2" i="18" s="1"/>
  <c r="O2" i="18" s="1"/>
  <c r="P2" i="18" s="1"/>
  <c r="Q2" i="18" s="1"/>
  <c r="R2" i="18" s="1"/>
  <c r="S2" i="18" s="1"/>
  <c r="E14" i="18" s="1"/>
  <c r="F14" i="18" s="1"/>
  <c r="G14" i="18" s="1"/>
  <c r="H14" i="18" s="1"/>
  <c r="I14" i="18" s="1"/>
  <c r="J14" i="18" s="1"/>
  <c r="K14" i="18" s="1"/>
  <c r="L14" i="18" s="1"/>
  <c r="M14" i="18" s="1"/>
  <c r="N14" i="18" s="1"/>
  <c r="O14" i="18" s="1"/>
  <c r="P14" i="18" s="1"/>
  <c r="Q14" i="18" s="1"/>
  <c r="R14" i="18" s="1"/>
  <c r="S14" i="18" s="1"/>
  <c r="G25" i="19"/>
  <c r="F25" i="19"/>
  <c r="E25" i="19"/>
  <c r="G24" i="19"/>
  <c r="F24" i="19"/>
  <c r="E24" i="19"/>
  <c r="S22" i="19"/>
  <c r="R22" i="19"/>
  <c r="Q22" i="19"/>
  <c r="P22" i="19"/>
  <c r="O22" i="19"/>
  <c r="N22" i="19"/>
  <c r="M22" i="19"/>
  <c r="L22" i="19"/>
  <c r="K22" i="19"/>
  <c r="J22" i="19"/>
  <c r="I22" i="19"/>
  <c r="H22" i="19"/>
  <c r="G22" i="19"/>
  <c r="F22" i="19"/>
  <c r="E22" i="19"/>
  <c r="D14" i="19"/>
  <c r="D13" i="19"/>
  <c r="S8" i="19"/>
  <c r="R8" i="19"/>
  <c r="Q8" i="19"/>
  <c r="P8" i="19"/>
  <c r="O8" i="19"/>
  <c r="N8" i="19"/>
  <c r="M8" i="19"/>
  <c r="L8" i="19"/>
  <c r="K8" i="19"/>
  <c r="J8" i="19"/>
  <c r="I8" i="19"/>
  <c r="H8" i="19"/>
  <c r="G8" i="19"/>
  <c r="F8" i="19"/>
  <c r="E8" i="19"/>
  <c r="S7" i="19"/>
  <c r="R7" i="19"/>
  <c r="Q7" i="19"/>
  <c r="P7" i="19"/>
  <c r="O7" i="19"/>
  <c r="N7" i="19"/>
  <c r="M7" i="19"/>
  <c r="L7" i="19"/>
  <c r="K7" i="19"/>
  <c r="J7" i="19"/>
  <c r="I7" i="19"/>
  <c r="H7" i="19"/>
  <c r="G7" i="19"/>
  <c r="F7" i="19"/>
  <c r="E7" i="19"/>
  <c r="S5" i="19"/>
  <c r="R5" i="19"/>
  <c r="Q5" i="19"/>
  <c r="P5" i="19"/>
  <c r="O5" i="19"/>
  <c r="N5" i="19"/>
  <c r="M5" i="19"/>
  <c r="L5" i="19"/>
  <c r="K5" i="19"/>
  <c r="J5" i="19"/>
  <c r="I5" i="19"/>
  <c r="H5" i="19"/>
  <c r="G5" i="19"/>
  <c r="F5" i="19"/>
  <c r="E5" i="19"/>
  <c r="E2" i="19"/>
  <c r="F2" i="19" s="1"/>
  <c r="G2" i="19" s="1"/>
  <c r="H2" i="19" s="1"/>
  <c r="I2" i="19" s="1"/>
  <c r="J2" i="19" s="1"/>
  <c r="K2" i="19" s="1"/>
  <c r="L2" i="19" s="1"/>
  <c r="M2" i="19" s="1"/>
  <c r="N2" i="19" s="1"/>
  <c r="O2" i="19" s="1"/>
  <c r="P2" i="19" s="1"/>
  <c r="Q2" i="19" s="1"/>
  <c r="R2" i="19" s="1"/>
  <c r="S2" i="19" s="1"/>
  <c r="E19" i="19" s="1"/>
  <c r="F19" i="19" s="1"/>
  <c r="G19" i="19" s="1"/>
  <c r="H19" i="19" s="1"/>
  <c r="I19" i="19" s="1"/>
  <c r="J19" i="19" s="1"/>
  <c r="K19" i="19" s="1"/>
  <c r="L19" i="19" s="1"/>
  <c r="M19" i="19" s="1"/>
  <c r="N19" i="19" s="1"/>
  <c r="O19" i="19" s="1"/>
  <c r="P19" i="19" s="1"/>
  <c r="Q19" i="19" s="1"/>
  <c r="R19" i="19" s="1"/>
  <c r="S19" i="19" s="1"/>
  <c r="S60" i="47"/>
  <c r="R60" i="47"/>
  <c r="Q60" i="47"/>
  <c r="P60" i="47"/>
  <c r="O60" i="47"/>
  <c r="N60" i="47"/>
  <c r="M60" i="47"/>
  <c r="L60" i="47"/>
  <c r="K60" i="47"/>
  <c r="J60" i="47"/>
  <c r="I60" i="47"/>
  <c r="H60" i="47"/>
  <c r="G60" i="47"/>
  <c r="F60" i="47"/>
  <c r="E60" i="47"/>
  <c r="S55" i="47"/>
  <c r="R55" i="47"/>
  <c r="Q55" i="47"/>
  <c r="Q57" i="47" s="1"/>
  <c r="Q61" i="47" s="1"/>
  <c r="P55" i="47"/>
  <c r="O55" i="47"/>
  <c r="N55" i="47"/>
  <c r="M55" i="47"/>
  <c r="L55" i="47"/>
  <c r="K55" i="47"/>
  <c r="J55" i="47"/>
  <c r="I55" i="47"/>
  <c r="H55" i="47"/>
  <c r="G55" i="47"/>
  <c r="F55" i="47"/>
  <c r="E55" i="47"/>
  <c r="S52" i="47"/>
  <c r="S57" i="47" s="1"/>
  <c r="S61" i="47" s="1"/>
  <c r="R52" i="47"/>
  <c r="Q52" i="47"/>
  <c r="P52" i="47"/>
  <c r="O52" i="47"/>
  <c r="N52" i="47"/>
  <c r="N57" i="47" s="1"/>
  <c r="N61" i="47" s="1"/>
  <c r="M52" i="47"/>
  <c r="L52" i="47"/>
  <c r="K52" i="47"/>
  <c r="K57" i="47" s="1"/>
  <c r="K61" i="47" s="1"/>
  <c r="J52" i="47"/>
  <c r="I52" i="47"/>
  <c r="H52" i="47"/>
  <c r="G52" i="47"/>
  <c r="F52" i="47"/>
  <c r="F57" i="47" s="1"/>
  <c r="F61" i="47" s="1"/>
  <c r="E52" i="47"/>
  <c r="S45" i="47"/>
  <c r="R45" i="47"/>
  <c r="Q45" i="47"/>
  <c r="P45" i="47"/>
  <c r="O45" i="47"/>
  <c r="N45" i="47"/>
  <c r="M45" i="47"/>
  <c r="L45" i="47"/>
  <c r="K45" i="47"/>
  <c r="J45" i="47"/>
  <c r="I45" i="47"/>
  <c r="H45" i="47"/>
  <c r="G45" i="47"/>
  <c r="F45" i="47"/>
  <c r="E45" i="47"/>
  <c r="D44" i="47"/>
  <c r="D43" i="47"/>
  <c r="D41" i="47"/>
  <c r="S40" i="47"/>
  <c r="R40" i="47"/>
  <c r="Q40" i="47"/>
  <c r="P40" i="47"/>
  <c r="O40" i="47"/>
  <c r="N40" i="47"/>
  <c r="M40" i="47"/>
  <c r="L40" i="47"/>
  <c r="K40" i="47"/>
  <c r="J40" i="47"/>
  <c r="I40" i="47"/>
  <c r="H40" i="47"/>
  <c r="G40" i="47"/>
  <c r="F40" i="47"/>
  <c r="E40" i="47"/>
  <c r="D39" i="47"/>
  <c r="D38" i="47"/>
  <c r="S37" i="47"/>
  <c r="R37" i="47"/>
  <c r="R42" i="47" s="1"/>
  <c r="R46" i="47" s="1"/>
  <c r="Q37" i="47"/>
  <c r="P37" i="47"/>
  <c r="O37" i="47"/>
  <c r="N37" i="47"/>
  <c r="N42" i="47" s="1"/>
  <c r="N46" i="47" s="1"/>
  <c r="M37" i="47"/>
  <c r="M42" i="47" s="1"/>
  <c r="L37" i="47"/>
  <c r="K37" i="47"/>
  <c r="K42" i="47" s="1"/>
  <c r="J37" i="47"/>
  <c r="J42" i="47" s="1"/>
  <c r="J46" i="47" s="1"/>
  <c r="I37" i="47"/>
  <c r="H37" i="47"/>
  <c r="G37" i="47"/>
  <c r="G42" i="47" s="1"/>
  <c r="F37" i="47"/>
  <c r="F42" i="47" s="1"/>
  <c r="E37" i="47"/>
  <c r="D36" i="47"/>
  <c r="D35" i="47"/>
  <c r="S29" i="47"/>
  <c r="R29" i="47"/>
  <c r="Q29" i="47"/>
  <c r="P29" i="47"/>
  <c r="O29" i="47"/>
  <c r="N29" i="47"/>
  <c r="M29" i="47"/>
  <c r="L29" i="47"/>
  <c r="K29" i="47"/>
  <c r="J29" i="47"/>
  <c r="I29" i="47"/>
  <c r="H29" i="47"/>
  <c r="G29" i="47"/>
  <c r="F29" i="47"/>
  <c r="E29" i="47"/>
  <c r="S24" i="47"/>
  <c r="R24" i="47"/>
  <c r="R26" i="47" s="1"/>
  <c r="R30" i="47" s="1"/>
  <c r="Q24" i="47"/>
  <c r="P24" i="47"/>
  <c r="O24" i="47"/>
  <c r="N24" i="47"/>
  <c r="M24" i="47"/>
  <c r="L24" i="47"/>
  <c r="K24" i="47"/>
  <c r="J24" i="47"/>
  <c r="J26" i="47" s="1"/>
  <c r="J30" i="47" s="1"/>
  <c r="I24" i="47"/>
  <c r="H24" i="47"/>
  <c r="G24" i="47"/>
  <c r="F24" i="47"/>
  <c r="E24" i="47"/>
  <c r="S21" i="47"/>
  <c r="S23" i="19" s="1"/>
  <c r="R21" i="47"/>
  <c r="Q21" i="47"/>
  <c r="P21" i="47"/>
  <c r="O21" i="47"/>
  <c r="N21" i="47"/>
  <c r="M21" i="47"/>
  <c r="L21" i="47"/>
  <c r="K21" i="47"/>
  <c r="J21" i="47"/>
  <c r="I21" i="47"/>
  <c r="H21" i="47"/>
  <c r="H23" i="19" s="1"/>
  <c r="G21" i="47"/>
  <c r="G20" i="18" s="1"/>
  <c r="F21" i="47"/>
  <c r="F20" i="18" s="1"/>
  <c r="E21" i="47"/>
  <c r="S14" i="47"/>
  <c r="R14" i="47"/>
  <c r="Q14" i="47"/>
  <c r="P14" i="47"/>
  <c r="O14" i="47"/>
  <c r="N14" i="47"/>
  <c r="M14" i="47"/>
  <c r="L14" i="47"/>
  <c r="K14" i="47"/>
  <c r="J14" i="47"/>
  <c r="I14" i="47"/>
  <c r="H14" i="47"/>
  <c r="G14" i="47"/>
  <c r="F14" i="47"/>
  <c r="E14" i="47"/>
  <c r="D13" i="47"/>
  <c r="D12" i="47"/>
  <c r="D10" i="47"/>
  <c r="S9" i="47"/>
  <c r="R9" i="47"/>
  <c r="Q9" i="47"/>
  <c r="P9" i="47"/>
  <c r="P11" i="47" s="1"/>
  <c r="O9" i="47"/>
  <c r="N9" i="47"/>
  <c r="M9" i="47"/>
  <c r="L9" i="47"/>
  <c r="K9" i="47"/>
  <c r="J9" i="47"/>
  <c r="I9" i="47"/>
  <c r="H9" i="47"/>
  <c r="G9" i="47"/>
  <c r="F9" i="47"/>
  <c r="E9" i="47"/>
  <c r="D8" i="47"/>
  <c r="D7" i="47"/>
  <c r="S6" i="47"/>
  <c r="S11" i="47" s="1"/>
  <c r="S15" i="47" s="1"/>
  <c r="R6" i="47"/>
  <c r="Q6" i="47"/>
  <c r="Q8" i="18" s="1"/>
  <c r="P6" i="47"/>
  <c r="P6" i="19" s="1"/>
  <c r="O6" i="47"/>
  <c r="O6" i="19" s="1"/>
  <c r="N6" i="47"/>
  <c r="N6" i="19" s="1"/>
  <c r="M6" i="47"/>
  <c r="L6" i="47"/>
  <c r="K6" i="47"/>
  <c r="K11" i="47" s="1"/>
  <c r="K15" i="47" s="1"/>
  <c r="J6" i="47"/>
  <c r="I6" i="47"/>
  <c r="H6" i="47"/>
  <c r="H6" i="19" s="1"/>
  <c r="G6" i="47"/>
  <c r="G6" i="19" s="1"/>
  <c r="F6" i="47"/>
  <c r="F6" i="19" s="1"/>
  <c r="E6" i="47"/>
  <c r="D5" i="47"/>
  <c r="D4" i="47"/>
  <c r="E2" i="47"/>
  <c r="F2" i="47" s="1"/>
  <c r="G2" i="47" s="1"/>
  <c r="H2" i="47" s="1"/>
  <c r="I2" i="47" s="1"/>
  <c r="J2" i="47" s="1"/>
  <c r="K2" i="47" s="1"/>
  <c r="L2" i="47" s="1"/>
  <c r="M2" i="47" s="1"/>
  <c r="N2" i="47" s="1"/>
  <c r="O2" i="47" s="1"/>
  <c r="P2" i="47" s="1"/>
  <c r="Q2" i="47" s="1"/>
  <c r="R2" i="47" s="1"/>
  <c r="S2" i="47" s="1"/>
  <c r="E17" i="47" s="1"/>
  <c r="D17" i="47"/>
  <c r="G34" i="25"/>
  <c r="D9" i="25"/>
  <c r="D19" i="25" s="1"/>
  <c r="E2" i="25"/>
  <c r="S28" i="48"/>
  <c r="R28" i="48"/>
  <c r="Q28" i="48"/>
  <c r="P28" i="48"/>
  <c r="O28" i="48"/>
  <c r="N28" i="48"/>
  <c r="M28" i="48"/>
  <c r="L28" i="48"/>
  <c r="K28" i="48"/>
  <c r="J28" i="48"/>
  <c r="I28" i="48"/>
  <c r="H28" i="48"/>
  <c r="G28" i="48"/>
  <c r="F28" i="48"/>
  <c r="E28" i="48"/>
  <c r="S21" i="48"/>
  <c r="R21" i="48"/>
  <c r="Q21" i="48"/>
  <c r="P21" i="48"/>
  <c r="O21" i="48"/>
  <c r="N21" i="48"/>
  <c r="M21" i="48"/>
  <c r="L21" i="48"/>
  <c r="K21" i="48"/>
  <c r="J21" i="48"/>
  <c r="I21" i="48"/>
  <c r="H21" i="48"/>
  <c r="G21" i="48"/>
  <c r="F21" i="48"/>
  <c r="E21" i="48"/>
  <c r="S13" i="48"/>
  <c r="R13" i="48"/>
  <c r="Q13" i="48"/>
  <c r="P13" i="48"/>
  <c r="O13" i="48"/>
  <c r="N13" i="48"/>
  <c r="M13" i="48"/>
  <c r="L13" i="48"/>
  <c r="K13" i="48"/>
  <c r="J13" i="48"/>
  <c r="I13" i="48"/>
  <c r="H13" i="48"/>
  <c r="G13" i="48"/>
  <c r="F13" i="48"/>
  <c r="E13" i="48"/>
  <c r="S6" i="48"/>
  <c r="R6" i="48"/>
  <c r="Q6" i="48"/>
  <c r="P6" i="48"/>
  <c r="O6" i="48"/>
  <c r="N6" i="48"/>
  <c r="M6" i="48"/>
  <c r="L6" i="48"/>
  <c r="K6" i="48"/>
  <c r="J6" i="48"/>
  <c r="I6" i="48"/>
  <c r="H6" i="48"/>
  <c r="G6" i="48"/>
  <c r="F6" i="48"/>
  <c r="E6" i="48"/>
  <c r="E2" i="48"/>
  <c r="E17" i="48" s="1"/>
  <c r="F17" i="48" s="1"/>
  <c r="G17" i="48" s="1"/>
  <c r="H17" i="48" s="1"/>
  <c r="I17" i="48" s="1"/>
  <c r="J17" i="48" s="1"/>
  <c r="K17" i="48" s="1"/>
  <c r="L17" i="48" s="1"/>
  <c r="M17" i="48" s="1"/>
  <c r="N17" i="48" s="1"/>
  <c r="O17" i="48" s="1"/>
  <c r="P17" i="48" s="1"/>
  <c r="Q17" i="48" s="1"/>
  <c r="R17" i="48" s="1"/>
  <c r="S17" i="48" s="1"/>
  <c r="E24" i="48" s="1"/>
  <c r="F24" i="48" s="1"/>
  <c r="G24" i="48" s="1"/>
  <c r="H24" i="48" s="1"/>
  <c r="I24" i="48" s="1"/>
  <c r="J24" i="48" s="1"/>
  <c r="K24" i="48" s="1"/>
  <c r="L24" i="48" s="1"/>
  <c r="M24" i="48" s="1"/>
  <c r="N24" i="48" s="1"/>
  <c r="O24" i="48" s="1"/>
  <c r="P24" i="48" s="1"/>
  <c r="Q24" i="48" s="1"/>
  <c r="R24" i="48" s="1"/>
  <c r="S24" i="48" s="1"/>
  <c r="C44" i="58"/>
  <c r="C43" i="58"/>
  <c r="C42" i="58"/>
  <c r="C41" i="58"/>
  <c r="C40" i="58"/>
  <c r="C39" i="58"/>
  <c r="C38" i="58"/>
  <c r="C37" i="58"/>
  <c r="C36" i="58"/>
  <c r="C35" i="58"/>
  <c r="C34" i="58"/>
  <c r="C32" i="58"/>
  <c r="C31" i="58"/>
  <c r="C30" i="58"/>
  <c r="C28" i="58"/>
  <c r="C27" i="58"/>
  <c r="C26" i="58"/>
  <c r="C24" i="58"/>
  <c r="B24" i="58"/>
  <c r="D21" i="58"/>
  <c r="G21" i="58" s="1"/>
  <c r="E10" i="58"/>
  <c r="E8" i="58"/>
  <c r="F2" i="58"/>
  <c r="L110" i="52"/>
  <c r="L109" i="52"/>
  <c r="L108" i="52"/>
  <c r="L107" i="52"/>
  <c r="L106" i="52"/>
  <c r="L104" i="52"/>
  <c r="L102" i="52"/>
  <c r="L99" i="52"/>
  <c r="L98" i="52"/>
  <c r="L97" i="52"/>
  <c r="L95" i="52"/>
  <c r="L94" i="52"/>
  <c r="L93" i="52"/>
  <c r="L90" i="52"/>
  <c r="L89" i="52"/>
  <c r="L88" i="52"/>
  <c r="L87" i="52"/>
  <c r="L86" i="52"/>
  <c r="L85" i="52"/>
  <c r="L83" i="52"/>
  <c r="L82" i="52"/>
  <c r="L81" i="52"/>
  <c r="L80" i="52"/>
  <c r="L79" i="52"/>
  <c r="L78" i="52"/>
  <c r="L77" i="52"/>
  <c r="L76" i="52"/>
  <c r="L75" i="52"/>
  <c r="L74" i="52"/>
  <c r="L73" i="52"/>
  <c r="L72" i="52"/>
  <c r="L71" i="52"/>
  <c r="L69" i="52"/>
  <c r="L68" i="52"/>
  <c r="L67" i="52"/>
  <c r="L66" i="52"/>
  <c r="L65" i="52"/>
  <c r="L63" i="52"/>
  <c r="L62" i="52"/>
  <c r="L61" i="52"/>
  <c r="L60" i="52"/>
  <c r="L59" i="52"/>
  <c r="L51" i="52"/>
  <c r="C51" i="52"/>
  <c r="L50" i="52"/>
  <c r="C50" i="52"/>
  <c r="L49" i="52"/>
  <c r="C49" i="52"/>
  <c r="L48" i="52"/>
  <c r="C48" i="52"/>
  <c r="L47" i="52"/>
  <c r="C47" i="52"/>
  <c r="L46" i="52"/>
  <c r="C46" i="52"/>
  <c r="L45" i="52"/>
  <c r="C45" i="52"/>
  <c r="L44" i="52"/>
  <c r="C44" i="52"/>
  <c r="L43" i="52"/>
  <c r="C43" i="52"/>
  <c r="L42" i="52"/>
  <c r="C42" i="52"/>
  <c r="L41" i="52"/>
  <c r="C41" i="52"/>
  <c r="L40" i="52"/>
  <c r="C40" i="52"/>
  <c r="L39" i="52"/>
  <c r="C39" i="52"/>
  <c r="L38" i="52"/>
  <c r="C38" i="52"/>
  <c r="L37" i="52"/>
  <c r="C37" i="52"/>
  <c r="B36" i="52"/>
  <c r="B100" i="52" s="1"/>
  <c r="L35" i="52"/>
  <c r="C35" i="52"/>
  <c r="L34" i="52"/>
  <c r="C34" i="52"/>
  <c r="L33" i="52"/>
  <c r="C33" i="52"/>
  <c r="L32" i="52"/>
  <c r="C32" i="52"/>
  <c r="L31" i="52"/>
  <c r="C31" i="52"/>
  <c r="L30" i="52"/>
  <c r="C30" i="52"/>
  <c r="L29" i="52"/>
  <c r="C29" i="52"/>
  <c r="L28" i="52"/>
  <c r="C28" i="52"/>
  <c r="L27" i="52"/>
  <c r="C27" i="52"/>
  <c r="L26" i="52"/>
  <c r="C26" i="52"/>
  <c r="L25" i="52"/>
  <c r="C25" i="52"/>
  <c r="L24" i="52"/>
  <c r="C24" i="52"/>
  <c r="B23" i="52"/>
  <c r="B91" i="52" s="1"/>
  <c r="L22" i="52"/>
  <c r="C22" i="52"/>
  <c r="L21" i="52"/>
  <c r="C21" i="52"/>
  <c r="L20" i="52"/>
  <c r="C20" i="52"/>
  <c r="L19" i="52"/>
  <c r="C19" i="52"/>
  <c r="B19" i="52"/>
  <c r="B32" i="52" s="1"/>
  <c r="B48" i="52" s="1"/>
  <c r="L18" i="52"/>
  <c r="C18" i="52"/>
  <c r="L17" i="52"/>
  <c r="C17" i="52"/>
  <c r="L16" i="52"/>
  <c r="C16" i="52"/>
  <c r="L15" i="52"/>
  <c r="C15" i="52"/>
  <c r="L14" i="52"/>
  <c r="C14" i="52"/>
  <c r="L13" i="52"/>
  <c r="C13" i="52"/>
  <c r="L12" i="52"/>
  <c r="C12" i="52"/>
  <c r="L11" i="52"/>
  <c r="C11" i="52"/>
  <c r="L10" i="52"/>
  <c r="C10" i="52"/>
  <c r="L9" i="52"/>
  <c r="C9" i="52"/>
  <c r="L8" i="52"/>
  <c r="C8" i="52"/>
  <c r="L7" i="52"/>
  <c r="C7" i="52"/>
  <c r="L6" i="52"/>
  <c r="C6" i="52"/>
  <c r="B6" i="52"/>
  <c r="B24" i="52" s="1"/>
  <c r="B37" i="52" s="1"/>
  <c r="B5" i="52"/>
  <c r="B57" i="52" s="1"/>
  <c r="I4" i="52"/>
  <c r="I56" i="52" s="1"/>
  <c r="H4" i="52"/>
  <c r="H56" i="52" s="1"/>
  <c r="G4" i="52"/>
  <c r="G56" i="52" s="1"/>
  <c r="F4" i="52"/>
  <c r="F56" i="52" s="1"/>
  <c r="E4" i="52"/>
  <c r="E56" i="52" s="1"/>
  <c r="K3" i="52"/>
  <c r="K55" i="52" s="1"/>
  <c r="J3" i="52"/>
  <c r="J55" i="52" s="1"/>
  <c r="G3" i="52"/>
  <c r="G55" i="52" s="1"/>
  <c r="E3" i="52"/>
  <c r="E55" i="52" s="1"/>
  <c r="L2" i="52"/>
  <c r="L54" i="52" s="1"/>
  <c r="E2" i="52"/>
  <c r="E54" i="52" s="1"/>
  <c r="D2" i="52"/>
  <c r="D54" i="52" s="1"/>
  <c r="C2" i="52"/>
  <c r="B30" i="17"/>
  <c r="B29" i="17"/>
  <c r="B28" i="17"/>
  <c r="C13" i="17"/>
  <c r="C26" i="17" s="1"/>
  <c r="D12" i="17"/>
  <c r="F12" i="17" s="1"/>
  <c r="G12" i="17" s="1"/>
  <c r="H12" i="17" s="1"/>
  <c r="I12" i="17" s="1"/>
  <c r="J12" i="17" s="1"/>
  <c r="K12" i="17" s="1"/>
  <c r="L12" i="17" s="1"/>
  <c r="M12" i="17" s="1"/>
  <c r="N12" i="17" s="1"/>
  <c r="O12" i="17" s="1"/>
  <c r="P12" i="17" s="1"/>
  <c r="Q12" i="17" s="1"/>
  <c r="R12" i="17" s="1"/>
  <c r="S12" i="17" s="1"/>
  <c r="E25" i="17" s="1"/>
  <c r="F25" i="17" s="1"/>
  <c r="G25" i="17" s="1"/>
  <c r="H25" i="17" s="1"/>
  <c r="I25" i="17" s="1"/>
  <c r="J25" i="17" s="1"/>
  <c r="K25" i="17" s="1"/>
  <c r="L25" i="17" s="1"/>
  <c r="M25" i="17" s="1"/>
  <c r="N25" i="17" s="1"/>
  <c r="O25" i="17" s="1"/>
  <c r="P25" i="17" s="1"/>
  <c r="Q25" i="17" s="1"/>
  <c r="R25" i="17" s="1"/>
  <c r="S25" i="17" s="1"/>
  <c r="C12" i="17"/>
  <c r="C25" i="17" s="1"/>
  <c r="C11" i="17"/>
  <c r="C24" i="17" s="1"/>
  <c r="C10" i="17"/>
  <c r="C23" i="17" s="1"/>
  <c r="C9" i="17"/>
  <c r="C22" i="17" s="1"/>
  <c r="C8" i="17"/>
  <c r="C21" i="17" s="1"/>
  <c r="C7" i="17"/>
  <c r="C20" i="17" s="1"/>
  <c r="C6" i="17"/>
  <c r="C19" i="17" s="1"/>
  <c r="C5" i="17"/>
  <c r="C18" i="17" s="1"/>
  <c r="C4" i="17"/>
  <c r="C17" i="17" s="1"/>
  <c r="D3" i="17"/>
  <c r="E2" i="17"/>
  <c r="E7" i="17" s="1"/>
  <c r="C2" i="17"/>
  <c r="C15" i="17" s="1"/>
  <c r="B41" i="63"/>
  <c r="B39" i="63"/>
  <c r="C36" i="63"/>
  <c r="N33" i="63"/>
  <c r="L33" i="63"/>
  <c r="S32" i="63"/>
  <c r="R32" i="63"/>
  <c r="Q32" i="63"/>
  <c r="P32" i="63"/>
  <c r="O32" i="63"/>
  <c r="N32" i="63"/>
  <c r="M32" i="63"/>
  <c r="L32" i="63"/>
  <c r="K32" i="63"/>
  <c r="J32" i="63"/>
  <c r="I32" i="63"/>
  <c r="H32" i="63"/>
  <c r="G32" i="63"/>
  <c r="F32" i="63"/>
  <c r="F33" i="63" s="1"/>
  <c r="E32" i="63"/>
  <c r="S31" i="63"/>
  <c r="R31" i="63"/>
  <c r="Q31" i="63"/>
  <c r="P31" i="63"/>
  <c r="O31" i="63"/>
  <c r="N31" i="63"/>
  <c r="M31" i="63"/>
  <c r="L31" i="63"/>
  <c r="K31" i="63"/>
  <c r="J31" i="63"/>
  <c r="I31" i="63"/>
  <c r="H31" i="63"/>
  <c r="G31" i="63"/>
  <c r="F31" i="63"/>
  <c r="E31" i="63"/>
  <c r="S30" i="63"/>
  <c r="R30" i="63"/>
  <c r="Q30" i="63"/>
  <c r="P30" i="63"/>
  <c r="O30" i="63"/>
  <c r="N30" i="63"/>
  <c r="M30" i="63"/>
  <c r="L30" i="63"/>
  <c r="K30" i="63"/>
  <c r="J30" i="63"/>
  <c r="I30" i="63"/>
  <c r="H30" i="63"/>
  <c r="G30" i="63"/>
  <c r="F30" i="63"/>
  <c r="E30" i="63"/>
  <c r="S29" i="63"/>
  <c r="R29" i="63"/>
  <c r="Q29" i="63"/>
  <c r="Q33" i="63" s="1"/>
  <c r="P29" i="63"/>
  <c r="P33" i="63" s="1"/>
  <c r="O29" i="63"/>
  <c r="O33" i="63" s="1"/>
  <c r="N29" i="63"/>
  <c r="M29" i="63"/>
  <c r="L29" i="63"/>
  <c r="K29" i="63"/>
  <c r="J29" i="63"/>
  <c r="I29" i="63"/>
  <c r="I33" i="63" s="1"/>
  <c r="H29" i="63"/>
  <c r="H33" i="63" s="1"/>
  <c r="G29" i="63"/>
  <c r="F29" i="63"/>
  <c r="E29" i="63"/>
  <c r="H25" i="63"/>
  <c r="S24" i="63"/>
  <c r="R24" i="63"/>
  <c r="Q24" i="63"/>
  <c r="P24" i="63"/>
  <c r="O24" i="63"/>
  <c r="N24" i="63"/>
  <c r="M24" i="63"/>
  <c r="L24" i="63"/>
  <c r="K24" i="63"/>
  <c r="J24" i="63"/>
  <c r="I24" i="63"/>
  <c r="H24" i="63"/>
  <c r="G24" i="63"/>
  <c r="F24" i="63"/>
  <c r="E24" i="63"/>
  <c r="C24" i="63"/>
  <c r="S23" i="63"/>
  <c r="R23" i="63"/>
  <c r="Q23" i="63"/>
  <c r="P23" i="63"/>
  <c r="O23" i="63"/>
  <c r="N23" i="63"/>
  <c r="M23" i="63"/>
  <c r="L23" i="63"/>
  <c r="K23" i="63"/>
  <c r="J23" i="63"/>
  <c r="I23" i="63"/>
  <c r="H23" i="63"/>
  <c r="G23" i="63"/>
  <c r="F23" i="63"/>
  <c r="E23" i="63"/>
  <c r="C23" i="63"/>
  <c r="S22" i="63"/>
  <c r="R22" i="63"/>
  <c r="Q22" i="63"/>
  <c r="P22" i="63"/>
  <c r="O22" i="63"/>
  <c r="N22" i="63"/>
  <c r="M22" i="63"/>
  <c r="L22" i="63"/>
  <c r="K22" i="63"/>
  <c r="J22" i="63"/>
  <c r="I22" i="63"/>
  <c r="H22" i="63"/>
  <c r="G22" i="63"/>
  <c r="F22" i="63"/>
  <c r="E22" i="63"/>
  <c r="C22" i="63"/>
  <c r="S21" i="63"/>
  <c r="R21" i="63"/>
  <c r="Q21" i="63"/>
  <c r="Q25" i="63" s="1"/>
  <c r="P21" i="63"/>
  <c r="O21" i="63"/>
  <c r="O25" i="63" s="1"/>
  <c r="N21" i="63"/>
  <c r="N25" i="63" s="1"/>
  <c r="M21" i="63"/>
  <c r="M25" i="63" s="1"/>
  <c r="L21" i="63"/>
  <c r="L25" i="63" s="1"/>
  <c r="K21" i="63"/>
  <c r="K25" i="63" s="1"/>
  <c r="J21" i="63"/>
  <c r="I21" i="63"/>
  <c r="I25" i="63" s="1"/>
  <c r="H21" i="63"/>
  <c r="G21" i="63"/>
  <c r="G25" i="63" s="1"/>
  <c r="F21" i="63"/>
  <c r="F25" i="63" s="1"/>
  <c r="E21" i="63"/>
  <c r="E25" i="63" s="1"/>
  <c r="C21" i="63"/>
  <c r="S16" i="63"/>
  <c r="R16" i="63"/>
  <c r="Q16" i="63"/>
  <c r="P16" i="63"/>
  <c r="O16" i="63"/>
  <c r="N16" i="63"/>
  <c r="M16" i="63"/>
  <c r="L16" i="63"/>
  <c r="K16" i="63"/>
  <c r="J16" i="63"/>
  <c r="I16" i="63"/>
  <c r="H16" i="63"/>
  <c r="G16" i="63"/>
  <c r="F16" i="63"/>
  <c r="E16" i="63"/>
  <c r="C15" i="63"/>
  <c r="C32" i="63" s="1"/>
  <c r="C14" i="63"/>
  <c r="C31" i="63" s="1"/>
  <c r="C13" i="63"/>
  <c r="C30" i="63" s="1"/>
  <c r="C12" i="63"/>
  <c r="C29" i="63" s="1"/>
  <c r="S8" i="63"/>
  <c r="R8" i="63"/>
  <c r="Q8" i="63"/>
  <c r="P8" i="63"/>
  <c r="O8" i="63"/>
  <c r="N8" i="63"/>
  <c r="M8" i="63"/>
  <c r="L8" i="63"/>
  <c r="K8" i="63"/>
  <c r="J8" i="63"/>
  <c r="I8" i="63"/>
  <c r="H8" i="63"/>
  <c r="G8" i="63"/>
  <c r="F8" i="63"/>
  <c r="E8" i="63"/>
  <c r="C8" i="63"/>
  <c r="C16" i="63" s="1"/>
  <c r="C33" i="63" s="1"/>
  <c r="D7" i="63"/>
  <c r="D6" i="63"/>
  <c r="D5" i="63"/>
  <c r="D4" i="63"/>
  <c r="D3" i="63"/>
  <c r="D20" i="63" s="1"/>
  <c r="C3" i="63"/>
  <c r="B120" i="22"/>
  <c r="B119" i="22"/>
  <c r="B118" i="22"/>
  <c r="B116" i="22"/>
  <c r="C113" i="22"/>
  <c r="B113" i="22"/>
  <c r="C112" i="22"/>
  <c r="B112" i="22"/>
  <c r="C111" i="22"/>
  <c r="B111" i="22"/>
  <c r="C110" i="22"/>
  <c r="B110" i="22"/>
  <c r="C109" i="22"/>
  <c r="B109" i="22"/>
  <c r="C108" i="22"/>
  <c r="B108" i="22"/>
  <c r="C107" i="22"/>
  <c r="B107" i="22"/>
  <c r="C106" i="22"/>
  <c r="B106" i="22"/>
  <c r="C105" i="22"/>
  <c r="B105" i="22"/>
  <c r="C104" i="22"/>
  <c r="B104" i="22"/>
  <c r="C103" i="22"/>
  <c r="B103" i="22"/>
  <c r="C102" i="22"/>
  <c r="B102" i="22"/>
  <c r="B100" i="22"/>
  <c r="D97" i="22"/>
  <c r="D96" i="22"/>
  <c r="D95" i="22"/>
  <c r="D94" i="22"/>
  <c r="D93" i="22"/>
  <c r="D92" i="22"/>
  <c r="D91" i="22"/>
  <c r="D90" i="22"/>
  <c r="D89" i="22"/>
  <c r="D88" i="22"/>
  <c r="D87" i="22"/>
  <c r="D86" i="22"/>
  <c r="C81" i="22"/>
  <c r="B81" i="22"/>
  <c r="C80" i="22"/>
  <c r="B80" i="22"/>
  <c r="C79" i="22"/>
  <c r="B79" i="22"/>
  <c r="C78" i="22"/>
  <c r="B78" i="22"/>
  <c r="C77" i="22"/>
  <c r="B77" i="22"/>
  <c r="C76" i="22"/>
  <c r="B76" i="22"/>
  <c r="C75" i="22"/>
  <c r="B75" i="22"/>
  <c r="C74" i="22"/>
  <c r="B74" i="22"/>
  <c r="C73" i="22"/>
  <c r="B73" i="22"/>
  <c r="C72" i="22"/>
  <c r="B72" i="22"/>
  <c r="C71" i="22"/>
  <c r="B71" i="22"/>
  <c r="C70" i="22"/>
  <c r="B70" i="22"/>
  <c r="B68" i="22"/>
  <c r="D65" i="22"/>
  <c r="D64" i="22"/>
  <c r="D63" i="22"/>
  <c r="D62" i="22"/>
  <c r="D61" i="22"/>
  <c r="D60" i="22"/>
  <c r="D59" i="22"/>
  <c r="D58" i="22"/>
  <c r="D57" i="22"/>
  <c r="D56" i="22"/>
  <c r="D55" i="22"/>
  <c r="D54" i="22"/>
  <c r="C52" i="22"/>
  <c r="C68" i="22" s="1"/>
  <c r="C84" i="22" s="1"/>
  <c r="C100" i="22" s="1"/>
  <c r="C49" i="22"/>
  <c r="C48" i="22"/>
  <c r="C47" i="22"/>
  <c r="Q44" i="22"/>
  <c r="I44" i="22"/>
  <c r="S43" i="22"/>
  <c r="R43" i="22"/>
  <c r="Q43" i="22"/>
  <c r="P43" i="22"/>
  <c r="O43" i="22"/>
  <c r="N43" i="22"/>
  <c r="M43" i="22"/>
  <c r="L43" i="22"/>
  <c r="K43" i="22"/>
  <c r="J43" i="22"/>
  <c r="I43" i="22"/>
  <c r="H43" i="22"/>
  <c r="G43" i="22"/>
  <c r="F43" i="22"/>
  <c r="E43" i="22"/>
  <c r="S42" i="22"/>
  <c r="R42" i="22"/>
  <c r="Q42" i="22"/>
  <c r="P42" i="22"/>
  <c r="O42" i="22"/>
  <c r="N42" i="22"/>
  <c r="M42" i="22"/>
  <c r="L42" i="22"/>
  <c r="K42" i="22"/>
  <c r="J42" i="22"/>
  <c r="I42" i="22"/>
  <c r="H42" i="22"/>
  <c r="G42" i="22"/>
  <c r="F42" i="22"/>
  <c r="E42" i="22"/>
  <c r="S41" i="22"/>
  <c r="R41" i="22"/>
  <c r="Q41" i="22"/>
  <c r="P41" i="22"/>
  <c r="O41" i="22"/>
  <c r="N41" i="22"/>
  <c r="M41" i="22"/>
  <c r="L41" i="22"/>
  <c r="K41" i="22"/>
  <c r="J41" i="22"/>
  <c r="I41" i="22"/>
  <c r="H41" i="22"/>
  <c r="G41" i="22"/>
  <c r="F41" i="22"/>
  <c r="E41" i="22"/>
  <c r="H37" i="22"/>
  <c r="S36" i="22"/>
  <c r="R36" i="22"/>
  <c r="Q36" i="22"/>
  <c r="P36" i="22"/>
  <c r="O36" i="22"/>
  <c r="N36" i="22"/>
  <c r="M36" i="22"/>
  <c r="L36" i="22"/>
  <c r="K36" i="22"/>
  <c r="J36" i="22"/>
  <c r="I36" i="22"/>
  <c r="H36" i="22"/>
  <c r="G36" i="22"/>
  <c r="F36" i="22"/>
  <c r="E36" i="22"/>
  <c r="S35" i="22"/>
  <c r="R35" i="22"/>
  <c r="Q35" i="22"/>
  <c r="P35" i="22"/>
  <c r="O35" i="22"/>
  <c r="N35" i="22"/>
  <c r="M35" i="22"/>
  <c r="L35" i="22"/>
  <c r="K35" i="22"/>
  <c r="J35" i="22"/>
  <c r="I35" i="22"/>
  <c r="H35" i="22"/>
  <c r="G35" i="22"/>
  <c r="F35" i="22"/>
  <c r="E35" i="22"/>
  <c r="S34" i="22"/>
  <c r="R34" i="22"/>
  <c r="Q34" i="22"/>
  <c r="P34" i="22"/>
  <c r="O34" i="22"/>
  <c r="N34" i="22"/>
  <c r="M34" i="22"/>
  <c r="L34" i="22"/>
  <c r="K34" i="22"/>
  <c r="J34" i="22"/>
  <c r="I34" i="22"/>
  <c r="H34" i="22"/>
  <c r="G34" i="22"/>
  <c r="F34" i="22"/>
  <c r="E34" i="22"/>
  <c r="C33" i="22"/>
  <c r="C40" i="22" s="1"/>
  <c r="C32" i="22"/>
  <c r="C37" i="22" s="1"/>
  <c r="C44" i="22" s="1"/>
  <c r="S29" i="22"/>
  <c r="R29" i="22"/>
  <c r="Q29" i="22"/>
  <c r="P29" i="22"/>
  <c r="O29" i="22"/>
  <c r="N29" i="22"/>
  <c r="M29" i="22"/>
  <c r="L29" i="22"/>
  <c r="K29" i="22"/>
  <c r="J29" i="22"/>
  <c r="I29" i="22"/>
  <c r="H29" i="22"/>
  <c r="G29" i="22"/>
  <c r="F29" i="22"/>
  <c r="E29" i="22"/>
  <c r="S22" i="22"/>
  <c r="R22" i="22"/>
  <c r="Q22" i="22"/>
  <c r="P22" i="22"/>
  <c r="O22" i="22"/>
  <c r="N22" i="22"/>
  <c r="M22" i="22"/>
  <c r="L22" i="22"/>
  <c r="K22" i="22"/>
  <c r="J22" i="22"/>
  <c r="I22" i="22"/>
  <c r="H22" i="22"/>
  <c r="G22" i="22"/>
  <c r="F22" i="22"/>
  <c r="E22" i="22"/>
  <c r="D22" i="22" s="1"/>
  <c r="D48" i="22" s="1"/>
  <c r="D21" i="22"/>
  <c r="D20" i="22"/>
  <c r="D19" i="22"/>
  <c r="C18" i="22"/>
  <c r="C25" i="22" s="1"/>
  <c r="C85" i="22" s="1"/>
  <c r="C101" i="22" s="1"/>
  <c r="S14" i="22"/>
  <c r="S21" i="19" s="1"/>
  <c r="R14" i="22"/>
  <c r="R21" i="19" s="1"/>
  <c r="Q14" i="22"/>
  <c r="Q21" i="19" s="1"/>
  <c r="P14" i="22"/>
  <c r="P21" i="19" s="1"/>
  <c r="O14" i="22"/>
  <c r="O44" i="22" s="1"/>
  <c r="N14" i="22"/>
  <c r="N44" i="22" s="1"/>
  <c r="M14" i="22"/>
  <c r="L14" i="22"/>
  <c r="L21" i="19" s="1"/>
  <c r="K14" i="22"/>
  <c r="K21" i="19" s="1"/>
  <c r="J14" i="22"/>
  <c r="J21" i="19" s="1"/>
  <c r="I14" i="22"/>
  <c r="I21" i="19" s="1"/>
  <c r="H14" i="22"/>
  <c r="H21" i="19" s="1"/>
  <c r="G14" i="22"/>
  <c r="G44" i="22" s="1"/>
  <c r="F14" i="22"/>
  <c r="F44" i="22" s="1"/>
  <c r="E14" i="22"/>
  <c r="E44" i="22" s="1"/>
  <c r="S7" i="22"/>
  <c r="S4" i="19" s="1"/>
  <c r="R7" i="22"/>
  <c r="R4" i="19" s="1"/>
  <c r="Q7" i="22"/>
  <c r="Q4" i="19" s="1"/>
  <c r="P7" i="22"/>
  <c r="P4" i="19" s="1"/>
  <c r="O7" i="22"/>
  <c r="O4" i="19" s="1"/>
  <c r="N7" i="22"/>
  <c r="N4" i="19" s="1"/>
  <c r="M7" i="22"/>
  <c r="M4" i="19" s="1"/>
  <c r="L7" i="22"/>
  <c r="L4" i="19" s="1"/>
  <c r="K7" i="22"/>
  <c r="K4" i="19" s="1"/>
  <c r="J7" i="22"/>
  <c r="J4" i="19" s="1"/>
  <c r="I7" i="22"/>
  <c r="I4" i="19" s="1"/>
  <c r="H7" i="22"/>
  <c r="H4" i="19" s="1"/>
  <c r="G7" i="22"/>
  <c r="G4" i="19" s="1"/>
  <c r="F7" i="22"/>
  <c r="E7" i="22"/>
  <c r="C7" i="22"/>
  <c r="C14" i="22" s="1"/>
  <c r="C22" i="22" s="1"/>
  <c r="C29" i="22" s="1"/>
  <c r="D6" i="22"/>
  <c r="C6" i="22"/>
  <c r="C13" i="22" s="1"/>
  <c r="C21" i="22" s="1"/>
  <c r="C28" i="22" s="1"/>
  <c r="C36" i="22" s="1"/>
  <c r="C43" i="22" s="1"/>
  <c r="D5" i="22"/>
  <c r="C5" i="22"/>
  <c r="C12" i="22" s="1"/>
  <c r="C20" i="22" s="1"/>
  <c r="C27" i="22" s="1"/>
  <c r="C35" i="22" s="1"/>
  <c r="C42" i="22" s="1"/>
  <c r="D4" i="22"/>
  <c r="C4" i="22"/>
  <c r="C11" i="22" s="1"/>
  <c r="C19" i="22" s="1"/>
  <c r="C26" i="22" s="1"/>
  <c r="C34" i="22" s="1"/>
  <c r="C41" i="22" s="1"/>
  <c r="D3" i="22"/>
  <c r="D18" i="22" s="1"/>
  <c r="D33" i="22" s="1"/>
  <c r="D53" i="22" s="1"/>
  <c r="D85" i="22" s="1"/>
  <c r="C3" i="22"/>
  <c r="C10" i="22" s="1"/>
  <c r="C53" i="22" s="1"/>
  <c r="C69" i="22" s="1"/>
  <c r="E2" i="22"/>
  <c r="E52" i="22" s="1"/>
  <c r="F52" i="22" s="1"/>
  <c r="G52" i="22" s="1"/>
  <c r="H52" i="22" s="1"/>
  <c r="I52" i="22" s="1"/>
  <c r="J52" i="22" s="1"/>
  <c r="K52" i="22" s="1"/>
  <c r="L52" i="22" s="1"/>
  <c r="M52" i="22" s="1"/>
  <c r="N52" i="22" s="1"/>
  <c r="O52" i="22" s="1"/>
  <c r="P52" i="22" s="1"/>
  <c r="Q52" i="22" s="1"/>
  <c r="R52" i="22" s="1"/>
  <c r="S52" i="22" s="1"/>
  <c r="E68" i="22" s="1"/>
  <c r="F68" i="22" s="1"/>
  <c r="G68" i="22" s="1"/>
  <c r="H68" i="22" s="1"/>
  <c r="I68" i="22" s="1"/>
  <c r="J68" i="22" s="1"/>
  <c r="K68" i="22" s="1"/>
  <c r="L68" i="22" s="1"/>
  <c r="M68" i="22" s="1"/>
  <c r="N68" i="22" s="1"/>
  <c r="O68" i="22" s="1"/>
  <c r="P68" i="22" s="1"/>
  <c r="Q68" i="22" s="1"/>
  <c r="R68" i="22" s="1"/>
  <c r="S68" i="22" s="1"/>
  <c r="C2" i="22"/>
  <c r="C9" i="22" s="1"/>
  <c r="C17" i="22" s="1"/>
  <c r="C24" i="22" s="1"/>
  <c r="B64" i="60"/>
  <c r="B62" i="60"/>
  <c r="C59" i="60"/>
  <c r="C58" i="60"/>
  <c r="C57" i="60"/>
  <c r="E51" i="60"/>
  <c r="B50" i="60"/>
  <c r="C47" i="60"/>
  <c r="C53" i="60" s="1"/>
  <c r="R46" i="60"/>
  <c r="J46" i="60"/>
  <c r="C46" i="60"/>
  <c r="C52" i="60" s="1"/>
  <c r="S40" i="60"/>
  <c r="R40" i="60"/>
  <c r="Q40" i="60"/>
  <c r="P40" i="60"/>
  <c r="O40" i="60"/>
  <c r="N40" i="60"/>
  <c r="M40" i="60"/>
  <c r="M41" i="60" s="1"/>
  <c r="L40" i="60"/>
  <c r="K40" i="60"/>
  <c r="J40" i="60"/>
  <c r="I40" i="60"/>
  <c r="H40" i="60"/>
  <c r="G40" i="60"/>
  <c r="F40" i="60"/>
  <c r="E40" i="60"/>
  <c r="S37" i="60"/>
  <c r="R37" i="60"/>
  <c r="Q37" i="60"/>
  <c r="P37" i="60"/>
  <c r="O37" i="60"/>
  <c r="N37" i="60"/>
  <c r="M37" i="60"/>
  <c r="L37" i="60"/>
  <c r="K37" i="60"/>
  <c r="J37" i="60"/>
  <c r="I37" i="60"/>
  <c r="H37" i="60"/>
  <c r="G37" i="60"/>
  <c r="F37" i="60"/>
  <c r="E37" i="60"/>
  <c r="S36" i="60"/>
  <c r="S41" i="60" s="1"/>
  <c r="R36" i="60"/>
  <c r="Q36" i="60"/>
  <c r="P36" i="60"/>
  <c r="O36" i="60"/>
  <c r="O41" i="60" s="1"/>
  <c r="N36" i="60"/>
  <c r="N41" i="60" s="1"/>
  <c r="M36" i="60"/>
  <c r="L36" i="60"/>
  <c r="K36" i="60"/>
  <c r="K41" i="60" s="1"/>
  <c r="J36" i="60"/>
  <c r="J41" i="60" s="1"/>
  <c r="I36" i="60"/>
  <c r="H36" i="60"/>
  <c r="G36" i="60"/>
  <c r="G41" i="60" s="1"/>
  <c r="F36" i="60"/>
  <c r="F41" i="60" s="1"/>
  <c r="E36" i="60"/>
  <c r="E34" i="60"/>
  <c r="B33" i="60"/>
  <c r="S30" i="60"/>
  <c r="R30" i="60"/>
  <c r="Q30" i="60"/>
  <c r="P30" i="60"/>
  <c r="O30" i="60"/>
  <c r="N30" i="60"/>
  <c r="M30" i="60"/>
  <c r="L30" i="60"/>
  <c r="K30" i="60"/>
  <c r="J30" i="60"/>
  <c r="I30" i="60"/>
  <c r="H30" i="60"/>
  <c r="G30" i="60"/>
  <c r="F30" i="60"/>
  <c r="E30" i="60"/>
  <c r="D29" i="60"/>
  <c r="D28" i="60"/>
  <c r="S27" i="60"/>
  <c r="R27" i="60"/>
  <c r="Q27" i="60"/>
  <c r="P27" i="60"/>
  <c r="O27" i="60"/>
  <c r="N27" i="60"/>
  <c r="M27" i="60"/>
  <c r="L27" i="60"/>
  <c r="K27" i="60"/>
  <c r="J27" i="60"/>
  <c r="I27" i="60"/>
  <c r="H27" i="60"/>
  <c r="G27" i="60"/>
  <c r="F27" i="60"/>
  <c r="E27" i="60"/>
  <c r="S26" i="60"/>
  <c r="R26" i="60"/>
  <c r="R31" i="60" s="1"/>
  <c r="Q26" i="60"/>
  <c r="P26" i="60"/>
  <c r="P31" i="60" s="1"/>
  <c r="O26" i="60"/>
  <c r="O31" i="60" s="1"/>
  <c r="N26" i="60"/>
  <c r="N31" i="60" s="1"/>
  <c r="M26" i="60"/>
  <c r="L26" i="60"/>
  <c r="K26" i="60"/>
  <c r="J26" i="60"/>
  <c r="I26" i="60"/>
  <c r="H26" i="60"/>
  <c r="H31" i="60" s="1"/>
  <c r="G26" i="60"/>
  <c r="G31" i="60" s="1"/>
  <c r="F26" i="60"/>
  <c r="F31" i="60" s="1"/>
  <c r="E26" i="60"/>
  <c r="D25" i="60"/>
  <c r="C24" i="60"/>
  <c r="C34" i="60" s="1"/>
  <c r="H20" i="60"/>
  <c r="S19" i="60"/>
  <c r="S53" i="60" s="1"/>
  <c r="R19" i="60"/>
  <c r="R53" i="60" s="1"/>
  <c r="Q19" i="60"/>
  <c r="Q53" i="60" s="1"/>
  <c r="P19" i="60"/>
  <c r="P53" i="60" s="1"/>
  <c r="O19" i="60"/>
  <c r="N19" i="60"/>
  <c r="N53" i="60" s="1"/>
  <c r="M19" i="60"/>
  <c r="M53" i="60" s="1"/>
  <c r="L19" i="60"/>
  <c r="K19" i="60"/>
  <c r="K53" i="60" s="1"/>
  <c r="J19" i="60"/>
  <c r="I19" i="60"/>
  <c r="I53" i="60" s="1"/>
  <c r="H19" i="60"/>
  <c r="G19" i="60"/>
  <c r="G20" i="60" s="1"/>
  <c r="F19" i="60"/>
  <c r="F53" i="60" s="1"/>
  <c r="E19" i="60"/>
  <c r="E53" i="60" s="1"/>
  <c r="S16" i="60"/>
  <c r="R16" i="60"/>
  <c r="Q16" i="60"/>
  <c r="P16" i="60"/>
  <c r="P20" i="60" s="1"/>
  <c r="O16" i="60"/>
  <c r="N16" i="60"/>
  <c r="M16" i="60"/>
  <c r="L16" i="60"/>
  <c r="K16" i="60"/>
  <c r="J16" i="60"/>
  <c r="I16" i="60"/>
  <c r="H16" i="60"/>
  <c r="G16" i="60"/>
  <c r="F16" i="60"/>
  <c r="E16" i="60"/>
  <c r="S15" i="60"/>
  <c r="S52" i="60" s="1"/>
  <c r="R15" i="60"/>
  <c r="R20" i="60" s="1"/>
  <c r="Q15" i="60"/>
  <c r="P15" i="60"/>
  <c r="O15" i="60"/>
  <c r="N15" i="60"/>
  <c r="N20" i="60" s="1"/>
  <c r="M15" i="60"/>
  <c r="L15" i="60"/>
  <c r="K15" i="60"/>
  <c r="K52" i="60" s="1"/>
  <c r="J15" i="60"/>
  <c r="J20" i="60" s="1"/>
  <c r="I15" i="60"/>
  <c r="I20" i="60" s="1"/>
  <c r="H15" i="60"/>
  <c r="G15" i="60"/>
  <c r="F15" i="60"/>
  <c r="E15" i="60"/>
  <c r="E52" i="60" s="1"/>
  <c r="B12" i="60"/>
  <c r="R10" i="60"/>
  <c r="M10" i="60"/>
  <c r="C10" i="60"/>
  <c r="D3" i="60" s="1"/>
  <c r="D24" i="60" s="1"/>
  <c r="S9" i="60"/>
  <c r="S47" i="60" s="1"/>
  <c r="R9" i="60"/>
  <c r="R47" i="60" s="1"/>
  <c r="Q9" i="60"/>
  <c r="P9" i="60"/>
  <c r="P47" i="60" s="1"/>
  <c r="O9" i="60"/>
  <c r="O47" i="60" s="1"/>
  <c r="N9" i="60"/>
  <c r="M9" i="60"/>
  <c r="M47" i="60" s="1"/>
  <c r="L9" i="60"/>
  <c r="K9" i="60"/>
  <c r="J9" i="60"/>
  <c r="J47" i="60" s="1"/>
  <c r="I9" i="60"/>
  <c r="H9" i="60"/>
  <c r="G9" i="60"/>
  <c r="G47" i="60" s="1"/>
  <c r="F9" i="60"/>
  <c r="F47" i="60" s="1"/>
  <c r="E9" i="60"/>
  <c r="E47" i="60" s="1"/>
  <c r="C9" i="60"/>
  <c r="C19" i="60" s="1"/>
  <c r="C30" i="60" s="1"/>
  <c r="C40" i="60" s="1"/>
  <c r="D8" i="60"/>
  <c r="C8" i="60"/>
  <c r="C18" i="60" s="1"/>
  <c r="C29" i="60" s="1"/>
  <c r="C39" i="60" s="1"/>
  <c r="D7" i="60"/>
  <c r="C7" i="60"/>
  <c r="C17" i="60" s="1"/>
  <c r="C28" i="60" s="1"/>
  <c r="C38" i="60" s="1"/>
  <c r="S6" i="60"/>
  <c r="R6" i="60"/>
  <c r="Q6" i="60"/>
  <c r="P6" i="60"/>
  <c r="O6" i="60"/>
  <c r="N6" i="60"/>
  <c r="M6" i="60"/>
  <c r="L6" i="60"/>
  <c r="K6" i="60"/>
  <c r="J6" i="60"/>
  <c r="I6" i="60"/>
  <c r="H6" i="60"/>
  <c r="G6" i="60"/>
  <c r="F6" i="60"/>
  <c r="E6" i="60"/>
  <c r="C6" i="60"/>
  <c r="C16" i="60" s="1"/>
  <c r="C27" i="60" s="1"/>
  <c r="C37" i="60" s="1"/>
  <c r="S5" i="60"/>
  <c r="S46" i="60" s="1"/>
  <c r="R5" i="60"/>
  <c r="Q5" i="60"/>
  <c r="P5" i="60"/>
  <c r="O5" i="60"/>
  <c r="N5" i="60"/>
  <c r="M5" i="60"/>
  <c r="L5" i="60"/>
  <c r="K5" i="60"/>
  <c r="J5" i="60"/>
  <c r="J10" i="60" s="1"/>
  <c r="I5" i="60"/>
  <c r="H5" i="60"/>
  <c r="G5" i="60"/>
  <c r="F5" i="60"/>
  <c r="F46" i="60" s="1"/>
  <c r="E5" i="60"/>
  <c r="E46" i="60" s="1"/>
  <c r="C5" i="60"/>
  <c r="C15" i="60" s="1"/>
  <c r="C26" i="60" s="1"/>
  <c r="C36" i="60" s="1"/>
  <c r="D4" i="60"/>
  <c r="C4" i="60"/>
  <c r="C14" i="60" s="1"/>
  <c r="C25" i="60" s="1"/>
  <c r="C35" i="60" s="1"/>
  <c r="C3" i="60"/>
  <c r="C13" i="60" s="1"/>
  <c r="C2" i="60"/>
  <c r="C12" i="60" s="1"/>
  <c r="C23" i="60" s="1"/>
  <c r="C33" i="60" s="1"/>
  <c r="C44" i="60" s="1"/>
  <c r="C50" i="60" s="1"/>
  <c r="B538" i="56"/>
  <c r="B537" i="56"/>
  <c r="B536" i="56"/>
  <c r="B535" i="56"/>
  <c r="B534" i="56"/>
  <c r="B532" i="56"/>
  <c r="B526" i="56"/>
  <c r="C524" i="56"/>
  <c r="C529" i="56" s="1"/>
  <c r="C523" i="56"/>
  <c r="C528" i="56" s="1"/>
  <c r="D522" i="56"/>
  <c r="D527" i="56" s="1"/>
  <c r="C521" i="56"/>
  <c r="C526" i="56" s="1"/>
  <c r="B510" i="56"/>
  <c r="D508" i="56"/>
  <c r="D507" i="56"/>
  <c r="D506" i="56"/>
  <c r="D505" i="56"/>
  <c r="D504" i="56"/>
  <c r="D503" i="56"/>
  <c r="C489" i="56"/>
  <c r="C510" i="56" s="1"/>
  <c r="B489" i="56"/>
  <c r="D487" i="56"/>
  <c r="D486" i="56"/>
  <c r="D485" i="56"/>
  <c r="D484" i="56"/>
  <c r="D483" i="56"/>
  <c r="D482" i="56"/>
  <c r="D481" i="56"/>
  <c r="C479" i="56"/>
  <c r="C500" i="56" s="1"/>
  <c r="B468" i="56"/>
  <c r="D466" i="56"/>
  <c r="D465" i="56"/>
  <c r="D464" i="56"/>
  <c r="D463" i="56"/>
  <c r="D462" i="56"/>
  <c r="D461" i="56"/>
  <c r="D460" i="56"/>
  <c r="C447" i="56"/>
  <c r="C468" i="56" s="1"/>
  <c r="B447" i="56"/>
  <c r="D445" i="56"/>
  <c r="D444" i="56"/>
  <c r="D443" i="56"/>
  <c r="D442" i="56"/>
  <c r="D441" i="56"/>
  <c r="D440" i="56"/>
  <c r="D439" i="56"/>
  <c r="C437" i="56"/>
  <c r="C458" i="56" s="1"/>
  <c r="B426" i="56"/>
  <c r="D424" i="56"/>
  <c r="D423" i="56"/>
  <c r="D422" i="56"/>
  <c r="D421" i="56"/>
  <c r="D420" i="56"/>
  <c r="D419" i="56"/>
  <c r="D418" i="56"/>
  <c r="C405" i="56"/>
  <c r="C426" i="56" s="1"/>
  <c r="B405" i="56"/>
  <c r="D403" i="56"/>
  <c r="D402" i="56"/>
  <c r="D401" i="56"/>
  <c r="D400" i="56"/>
  <c r="D399" i="56"/>
  <c r="D398" i="56"/>
  <c r="D397" i="56"/>
  <c r="C395" i="56"/>
  <c r="C416" i="56" s="1"/>
  <c r="B384" i="56"/>
  <c r="D382" i="56"/>
  <c r="D381" i="56"/>
  <c r="D380" i="56"/>
  <c r="D379" i="56"/>
  <c r="D378" i="56"/>
  <c r="D377" i="56"/>
  <c r="D376" i="56"/>
  <c r="C363" i="56"/>
  <c r="C384" i="56" s="1"/>
  <c r="B363" i="56"/>
  <c r="D361" i="56"/>
  <c r="D360" i="56"/>
  <c r="D359" i="56"/>
  <c r="D358" i="56"/>
  <c r="D357" i="56"/>
  <c r="D356" i="56"/>
  <c r="D355" i="56"/>
  <c r="C353" i="56"/>
  <c r="C374" i="56" s="1"/>
  <c r="B342" i="56"/>
  <c r="D340" i="56"/>
  <c r="D339" i="56"/>
  <c r="D338" i="56"/>
  <c r="D337" i="56"/>
  <c r="D336" i="56"/>
  <c r="D335" i="56"/>
  <c r="D334" i="56"/>
  <c r="C321" i="56"/>
  <c r="C342" i="56" s="1"/>
  <c r="B321" i="56"/>
  <c r="D319" i="56"/>
  <c r="C319" i="56"/>
  <c r="C340" i="56" s="1"/>
  <c r="C350" i="56" s="1"/>
  <c r="C361" i="56" s="1"/>
  <c r="C371" i="56" s="1"/>
  <c r="C382" i="56" s="1"/>
  <c r="C392" i="56" s="1"/>
  <c r="C403" i="56" s="1"/>
  <c r="C413" i="56" s="1"/>
  <c r="C424" i="56" s="1"/>
  <c r="C434" i="56" s="1"/>
  <c r="C445" i="56" s="1"/>
  <c r="C455" i="56" s="1"/>
  <c r="C466" i="56" s="1"/>
  <c r="C476" i="56" s="1"/>
  <c r="C487" i="56" s="1"/>
  <c r="C497" i="56" s="1"/>
  <c r="C508" i="56" s="1"/>
  <c r="C518" i="56" s="1"/>
  <c r="D318" i="56"/>
  <c r="C318" i="56"/>
  <c r="C339" i="56" s="1"/>
  <c r="C349" i="56" s="1"/>
  <c r="C360" i="56" s="1"/>
  <c r="C370" i="56" s="1"/>
  <c r="C381" i="56" s="1"/>
  <c r="C391" i="56" s="1"/>
  <c r="C402" i="56" s="1"/>
  <c r="C412" i="56" s="1"/>
  <c r="C423" i="56" s="1"/>
  <c r="C433" i="56" s="1"/>
  <c r="C444" i="56" s="1"/>
  <c r="C454" i="56" s="1"/>
  <c r="C465" i="56" s="1"/>
  <c r="C475" i="56" s="1"/>
  <c r="C486" i="56" s="1"/>
  <c r="C496" i="56" s="1"/>
  <c r="C507" i="56" s="1"/>
  <c r="C517" i="56" s="1"/>
  <c r="D317" i="56"/>
  <c r="C317" i="56"/>
  <c r="D316" i="56"/>
  <c r="C316" i="56"/>
  <c r="D315" i="56"/>
  <c r="C315" i="56"/>
  <c r="C325" i="56" s="1"/>
  <c r="D314" i="56"/>
  <c r="C314" i="56"/>
  <c r="D313" i="56"/>
  <c r="C313" i="56"/>
  <c r="C323" i="56" s="1"/>
  <c r="C311" i="56"/>
  <c r="C332" i="56" s="1"/>
  <c r="E296" i="56"/>
  <c r="C295" i="56"/>
  <c r="B295" i="56"/>
  <c r="D293" i="56"/>
  <c r="D292" i="56"/>
  <c r="D291" i="56"/>
  <c r="D290" i="56"/>
  <c r="D289" i="56"/>
  <c r="D288" i="56"/>
  <c r="D287" i="56"/>
  <c r="D286" i="56"/>
  <c r="D285" i="56"/>
  <c r="D284" i="56"/>
  <c r="D283" i="56"/>
  <c r="D282" i="56"/>
  <c r="B264" i="56"/>
  <c r="D262" i="56"/>
  <c r="C262" i="56"/>
  <c r="C277" i="56" s="1"/>
  <c r="C293" i="56" s="1"/>
  <c r="C308" i="56" s="1"/>
  <c r="D261" i="56"/>
  <c r="C261" i="56"/>
  <c r="C276" i="56" s="1"/>
  <c r="C292" i="56" s="1"/>
  <c r="C307" i="56" s="1"/>
  <c r="D260" i="56"/>
  <c r="C260" i="56"/>
  <c r="C275" i="56" s="1"/>
  <c r="C291" i="56" s="1"/>
  <c r="C306" i="56" s="1"/>
  <c r="D259" i="56"/>
  <c r="C259" i="56"/>
  <c r="C274" i="56" s="1"/>
  <c r="C290" i="56" s="1"/>
  <c r="C305" i="56" s="1"/>
  <c r="D258" i="56"/>
  <c r="C258" i="56"/>
  <c r="C273" i="56" s="1"/>
  <c r="C289" i="56" s="1"/>
  <c r="C304" i="56" s="1"/>
  <c r="D257" i="56"/>
  <c r="C257" i="56"/>
  <c r="C272" i="56" s="1"/>
  <c r="C288" i="56" s="1"/>
  <c r="C303" i="56" s="1"/>
  <c r="D256" i="56"/>
  <c r="C256" i="56"/>
  <c r="C271" i="56" s="1"/>
  <c r="C287" i="56" s="1"/>
  <c r="C302" i="56" s="1"/>
  <c r="D255" i="56"/>
  <c r="C255" i="56"/>
  <c r="C270" i="56" s="1"/>
  <c r="C286" i="56" s="1"/>
  <c r="C301" i="56" s="1"/>
  <c r="B255" i="56"/>
  <c r="B270" i="56" s="1"/>
  <c r="B286" i="56" s="1"/>
  <c r="B301" i="56" s="1"/>
  <c r="D254" i="56"/>
  <c r="C254" i="56"/>
  <c r="C269" i="56" s="1"/>
  <c r="C285" i="56" s="1"/>
  <c r="C300" i="56" s="1"/>
  <c r="D253" i="56"/>
  <c r="C253" i="56"/>
  <c r="C268" i="56" s="1"/>
  <c r="C284" i="56" s="1"/>
  <c r="C299" i="56" s="1"/>
  <c r="D252" i="56"/>
  <c r="C252" i="56"/>
  <c r="C267" i="56" s="1"/>
  <c r="C283" i="56" s="1"/>
  <c r="C298" i="56" s="1"/>
  <c r="D251" i="56"/>
  <c r="C251" i="56"/>
  <c r="C266" i="56" s="1"/>
  <c r="C282" i="56" s="1"/>
  <c r="C297" i="56" s="1"/>
  <c r="B251" i="56"/>
  <c r="B266" i="56" s="1"/>
  <c r="B282" i="56" s="1"/>
  <c r="B297" i="56" s="1"/>
  <c r="C264" i="56"/>
  <c r="C245" i="56"/>
  <c r="D244" i="56"/>
  <c r="D243" i="56"/>
  <c r="C243" i="56"/>
  <c r="D242" i="56"/>
  <c r="D241" i="56"/>
  <c r="D240" i="56"/>
  <c r="C240" i="56"/>
  <c r="C239" i="56"/>
  <c r="D238" i="56"/>
  <c r="D237" i="56"/>
  <c r="C237" i="56"/>
  <c r="D236" i="56"/>
  <c r="D235" i="56"/>
  <c r="D234" i="56"/>
  <c r="C234" i="56"/>
  <c r="D232" i="56"/>
  <c r="C232" i="56"/>
  <c r="C231" i="56"/>
  <c r="C230" i="56"/>
  <c r="C228" i="56"/>
  <c r="C227" i="56"/>
  <c r="C226" i="56"/>
  <c r="C225" i="56"/>
  <c r="C224" i="56"/>
  <c r="D223" i="56"/>
  <c r="C222" i="56"/>
  <c r="C221" i="56"/>
  <c r="C220" i="56"/>
  <c r="C218" i="56"/>
  <c r="C217" i="56"/>
  <c r="C216" i="56"/>
  <c r="C210" i="56"/>
  <c r="C207" i="56"/>
  <c r="F206" i="56"/>
  <c r="C205" i="56"/>
  <c r="C204" i="56"/>
  <c r="C201" i="56"/>
  <c r="I200" i="56"/>
  <c r="C200" i="56"/>
  <c r="D199" i="56"/>
  <c r="C198" i="56"/>
  <c r="I197" i="56"/>
  <c r="C197" i="56"/>
  <c r="C195" i="56"/>
  <c r="D194" i="56"/>
  <c r="D217" i="56" s="1"/>
  <c r="C194" i="56"/>
  <c r="C193" i="56"/>
  <c r="C190" i="56"/>
  <c r="C202" i="56" s="1"/>
  <c r="C213" i="56" s="1"/>
  <c r="C246" i="56" s="1"/>
  <c r="D189" i="56"/>
  <c r="D212" i="56" s="1"/>
  <c r="D188" i="56"/>
  <c r="D187" i="56"/>
  <c r="D211" i="56" s="1"/>
  <c r="D186" i="56"/>
  <c r="D210" i="56" s="1"/>
  <c r="C186" i="56"/>
  <c r="D185" i="56"/>
  <c r="D209" i="56" s="1"/>
  <c r="D184" i="56"/>
  <c r="D183" i="56"/>
  <c r="D208" i="56" s="1"/>
  <c r="D182" i="56"/>
  <c r="D207" i="56" s="1"/>
  <c r="C182" i="56"/>
  <c r="F181" i="56"/>
  <c r="E180" i="56"/>
  <c r="E205" i="56" s="1"/>
  <c r="D180" i="56"/>
  <c r="D205" i="56" s="1"/>
  <c r="C180" i="56"/>
  <c r="C179" i="56"/>
  <c r="C177" i="56"/>
  <c r="F176" i="56"/>
  <c r="C176" i="56"/>
  <c r="C175" i="56"/>
  <c r="C174" i="56"/>
  <c r="F173" i="56"/>
  <c r="C173" i="56"/>
  <c r="E172" i="56"/>
  <c r="C172" i="56"/>
  <c r="D181" i="56" s="1"/>
  <c r="C199" i="56" s="1"/>
  <c r="F171" i="56"/>
  <c r="I194" i="56" s="1"/>
  <c r="J217" i="56" s="1"/>
  <c r="D171" i="56"/>
  <c r="C171" i="56"/>
  <c r="C170" i="56"/>
  <c r="C167" i="56"/>
  <c r="C166" i="56"/>
  <c r="C165" i="56"/>
  <c r="E153" i="56"/>
  <c r="C150" i="56"/>
  <c r="C162" i="56" s="1"/>
  <c r="I149" i="56"/>
  <c r="H149" i="56"/>
  <c r="G149" i="56"/>
  <c r="F149" i="56"/>
  <c r="E149" i="56"/>
  <c r="I148" i="56"/>
  <c r="H148" i="56"/>
  <c r="G148" i="56"/>
  <c r="F148" i="56"/>
  <c r="E148" i="56"/>
  <c r="I147" i="56"/>
  <c r="H147" i="56"/>
  <c r="G147" i="56"/>
  <c r="F147" i="56"/>
  <c r="E147" i="56"/>
  <c r="I146" i="56"/>
  <c r="H146" i="56"/>
  <c r="G146" i="56"/>
  <c r="F146" i="56"/>
  <c r="E146" i="56"/>
  <c r="B146" i="56"/>
  <c r="B158" i="56" s="1"/>
  <c r="B142" i="56"/>
  <c r="B154" i="56" s="1"/>
  <c r="C140" i="56"/>
  <c r="C152" i="56" s="1"/>
  <c r="E106" i="56"/>
  <c r="I103" i="56"/>
  <c r="H103" i="56"/>
  <c r="F103" i="56"/>
  <c r="E103" i="56"/>
  <c r="D102" i="56"/>
  <c r="D101" i="56"/>
  <c r="D100" i="56"/>
  <c r="D99" i="56"/>
  <c r="D98" i="56"/>
  <c r="D97" i="56"/>
  <c r="D96" i="56"/>
  <c r="D95" i="56"/>
  <c r="D94" i="56"/>
  <c r="D93" i="56"/>
  <c r="D92" i="56"/>
  <c r="D91" i="56"/>
  <c r="D90" i="56"/>
  <c r="D89" i="56"/>
  <c r="D80" i="56"/>
  <c r="D79" i="56"/>
  <c r="D78" i="56"/>
  <c r="D77" i="56"/>
  <c r="C72" i="56"/>
  <c r="C106" i="56" s="1"/>
  <c r="C281" i="56" s="1"/>
  <c r="C333" i="56" s="1"/>
  <c r="C343" i="56" s="1"/>
  <c r="I34" i="56"/>
  <c r="H34" i="56"/>
  <c r="G34" i="56"/>
  <c r="F34" i="56"/>
  <c r="E34" i="56"/>
  <c r="C34" i="56"/>
  <c r="C68" i="56" s="1"/>
  <c r="C103" i="56" s="1"/>
  <c r="C137" i="56" s="1"/>
  <c r="D33" i="56"/>
  <c r="C33" i="56"/>
  <c r="C67" i="56" s="1"/>
  <c r="C102" i="56" s="1"/>
  <c r="C136" i="56" s="1"/>
  <c r="C149" i="56" s="1"/>
  <c r="C161" i="56" s="1"/>
  <c r="D32" i="56"/>
  <c r="C32" i="56"/>
  <c r="C66" i="56" s="1"/>
  <c r="C101" i="56" s="1"/>
  <c r="C135" i="56" s="1"/>
  <c r="C148" i="56" s="1"/>
  <c r="C160" i="56" s="1"/>
  <c r="D31" i="56"/>
  <c r="C31" i="56"/>
  <c r="C65" i="56" s="1"/>
  <c r="C100" i="56" s="1"/>
  <c r="C134" i="56" s="1"/>
  <c r="C147" i="56" s="1"/>
  <c r="C159" i="56" s="1"/>
  <c r="D30" i="56"/>
  <c r="C30" i="56"/>
  <c r="C64" i="56" s="1"/>
  <c r="C99" i="56" s="1"/>
  <c r="C133" i="56" s="1"/>
  <c r="C146" i="56" s="1"/>
  <c r="C158" i="56" s="1"/>
  <c r="B30" i="56"/>
  <c r="B64" i="56" s="1"/>
  <c r="B99" i="56" s="1"/>
  <c r="B133" i="56" s="1"/>
  <c r="D29" i="56"/>
  <c r="C29" i="56"/>
  <c r="C63" i="56" s="1"/>
  <c r="C98" i="56" s="1"/>
  <c r="C132" i="56" s="1"/>
  <c r="C145" i="56" s="1"/>
  <c r="C157" i="56" s="1"/>
  <c r="D28" i="56"/>
  <c r="C28" i="56"/>
  <c r="C62" i="56" s="1"/>
  <c r="C97" i="56" s="1"/>
  <c r="C131" i="56" s="1"/>
  <c r="C144" i="56" s="1"/>
  <c r="C156" i="56" s="1"/>
  <c r="D27" i="56"/>
  <c r="C27" i="56"/>
  <c r="C61" i="56" s="1"/>
  <c r="C96" i="56" s="1"/>
  <c r="C130" i="56" s="1"/>
  <c r="C143" i="56" s="1"/>
  <c r="C155" i="56" s="1"/>
  <c r="D26" i="56"/>
  <c r="C26" i="56"/>
  <c r="C60" i="56" s="1"/>
  <c r="C95" i="56" s="1"/>
  <c r="C129" i="56" s="1"/>
  <c r="C142" i="56" s="1"/>
  <c r="C154" i="56" s="1"/>
  <c r="B26" i="56"/>
  <c r="B60" i="56" s="1"/>
  <c r="B95" i="56" s="1"/>
  <c r="B129" i="56" s="1"/>
  <c r="D25" i="56"/>
  <c r="C25" i="56"/>
  <c r="C59" i="56" s="1"/>
  <c r="C94" i="56" s="1"/>
  <c r="C128" i="56" s="1"/>
  <c r="D24" i="56"/>
  <c r="C24" i="56"/>
  <c r="C58" i="56" s="1"/>
  <c r="C93" i="56" s="1"/>
  <c r="C127" i="56" s="1"/>
  <c r="D23" i="56"/>
  <c r="C23" i="56"/>
  <c r="C57" i="56" s="1"/>
  <c r="C92" i="56" s="1"/>
  <c r="C126" i="56" s="1"/>
  <c r="D22" i="56"/>
  <c r="C22" i="56"/>
  <c r="C56" i="56" s="1"/>
  <c r="C91" i="56" s="1"/>
  <c r="C125" i="56" s="1"/>
  <c r="B22" i="56"/>
  <c r="B56" i="56" s="1"/>
  <c r="B91" i="56" s="1"/>
  <c r="B125" i="56" s="1"/>
  <c r="D21" i="56"/>
  <c r="C21" i="56"/>
  <c r="C55" i="56" s="1"/>
  <c r="C90" i="56" s="1"/>
  <c r="C124" i="56" s="1"/>
  <c r="D20" i="56"/>
  <c r="C20" i="56"/>
  <c r="C54" i="56" s="1"/>
  <c r="C89" i="56" s="1"/>
  <c r="C123" i="56" s="1"/>
  <c r="B20" i="56"/>
  <c r="B54" i="56" s="1"/>
  <c r="B89" i="56" s="1"/>
  <c r="B123" i="56" s="1"/>
  <c r="D19" i="56"/>
  <c r="C19" i="56"/>
  <c r="C53" i="56" s="1"/>
  <c r="C88" i="56" s="1"/>
  <c r="C122" i="56" s="1"/>
  <c r="D18" i="56"/>
  <c r="C18" i="56"/>
  <c r="C52" i="56" s="1"/>
  <c r="C87" i="56" s="1"/>
  <c r="C121" i="56" s="1"/>
  <c r="D17" i="56"/>
  <c r="C17" i="56"/>
  <c r="C51" i="56" s="1"/>
  <c r="C86" i="56" s="1"/>
  <c r="C120" i="56" s="1"/>
  <c r="D16" i="56"/>
  <c r="C16" i="56"/>
  <c r="C50" i="56" s="1"/>
  <c r="C85" i="56" s="1"/>
  <c r="C119" i="56" s="1"/>
  <c r="B16" i="56"/>
  <c r="B50" i="56" s="1"/>
  <c r="B85" i="56" s="1"/>
  <c r="B119" i="56" s="1"/>
  <c r="C15" i="56"/>
  <c r="C49" i="56" s="1"/>
  <c r="C84" i="56" s="1"/>
  <c r="C118" i="56" s="1"/>
  <c r="C14" i="56"/>
  <c r="C48" i="56" s="1"/>
  <c r="C83" i="56" s="1"/>
  <c r="C117" i="56" s="1"/>
  <c r="C13" i="56"/>
  <c r="C47" i="56" s="1"/>
  <c r="C82" i="56" s="1"/>
  <c r="C116" i="56" s="1"/>
  <c r="C12" i="56"/>
  <c r="C46" i="56" s="1"/>
  <c r="C81" i="56" s="1"/>
  <c r="C115" i="56" s="1"/>
  <c r="B12" i="56"/>
  <c r="B46" i="56" s="1"/>
  <c r="B81" i="56" s="1"/>
  <c r="B115" i="56" s="1"/>
  <c r="C11" i="56"/>
  <c r="C45" i="56" s="1"/>
  <c r="C80" i="56" s="1"/>
  <c r="C114" i="56" s="1"/>
  <c r="C10" i="56"/>
  <c r="C44" i="56" s="1"/>
  <c r="C79" i="56" s="1"/>
  <c r="C113" i="56" s="1"/>
  <c r="C9" i="56"/>
  <c r="C43" i="56" s="1"/>
  <c r="C78" i="56" s="1"/>
  <c r="C112" i="56" s="1"/>
  <c r="C8" i="56"/>
  <c r="C42" i="56" s="1"/>
  <c r="C77" i="56" s="1"/>
  <c r="C111" i="56" s="1"/>
  <c r="B8" i="56"/>
  <c r="B42" i="56" s="1"/>
  <c r="B77" i="56" s="1"/>
  <c r="B111" i="56" s="1"/>
  <c r="C7" i="56"/>
  <c r="C41" i="56" s="1"/>
  <c r="C76" i="56" s="1"/>
  <c r="C110" i="56" s="1"/>
  <c r="C6" i="56"/>
  <c r="C40" i="56" s="1"/>
  <c r="C75" i="56" s="1"/>
  <c r="C109" i="56" s="1"/>
  <c r="C5" i="56"/>
  <c r="C39" i="56" s="1"/>
  <c r="C74" i="56" s="1"/>
  <c r="C108" i="56" s="1"/>
  <c r="C4" i="56"/>
  <c r="C38" i="56" s="1"/>
  <c r="C73" i="56" s="1"/>
  <c r="C107" i="56" s="1"/>
  <c r="B4" i="56"/>
  <c r="B38" i="56" s="1"/>
  <c r="B73" i="56" s="1"/>
  <c r="B107" i="56" s="1"/>
  <c r="D3" i="56"/>
  <c r="D72" i="56" s="1"/>
  <c r="D141" i="56" s="1"/>
  <c r="D250" i="56" s="1"/>
  <c r="D281" i="56" s="1"/>
  <c r="D312" i="56" s="1"/>
  <c r="D333" i="56" s="1"/>
  <c r="D354" i="56" s="1"/>
  <c r="D375" i="56" s="1"/>
  <c r="D396" i="56" s="1"/>
  <c r="D417" i="56" s="1"/>
  <c r="D438" i="56" s="1"/>
  <c r="D459" i="56" s="1"/>
  <c r="D480" i="56" s="1"/>
  <c r="C3" i="56"/>
  <c r="C2" i="56"/>
  <c r="C36" i="56" s="1"/>
  <c r="C71" i="56" s="1"/>
  <c r="C105" i="56" s="1"/>
  <c r="B159" i="55"/>
  <c r="B157" i="55"/>
  <c r="B155" i="55"/>
  <c r="B148" i="55"/>
  <c r="C146" i="55"/>
  <c r="C152" i="55" s="1"/>
  <c r="C145" i="55"/>
  <c r="C151" i="55" s="1"/>
  <c r="C144" i="55"/>
  <c r="C150" i="55" s="1"/>
  <c r="D143" i="55"/>
  <c r="C142" i="55"/>
  <c r="C148" i="55" s="1"/>
  <c r="S139" i="55"/>
  <c r="R139" i="55"/>
  <c r="Q139" i="55"/>
  <c r="P139" i="55"/>
  <c r="O139" i="55"/>
  <c r="N139" i="55"/>
  <c r="M139" i="55"/>
  <c r="L139" i="55"/>
  <c r="K139" i="55"/>
  <c r="J139" i="55"/>
  <c r="I139" i="55"/>
  <c r="H139" i="55"/>
  <c r="G139" i="55"/>
  <c r="F139" i="55"/>
  <c r="E139" i="55"/>
  <c r="B131" i="55"/>
  <c r="S129" i="55"/>
  <c r="R129" i="55"/>
  <c r="Q129" i="55"/>
  <c r="P129" i="55"/>
  <c r="O129" i="55"/>
  <c r="N129" i="55"/>
  <c r="M129" i="55"/>
  <c r="L129" i="55"/>
  <c r="K129" i="55"/>
  <c r="J129" i="55"/>
  <c r="I129" i="55"/>
  <c r="H129" i="55"/>
  <c r="G129" i="55"/>
  <c r="F129" i="55"/>
  <c r="E129" i="55"/>
  <c r="C129" i="55"/>
  <c r="C139" i="55" s="1"/>
  <c r="D128" i="55"/>
  <c r="D127" i="55"/>
  <c r="D126" i="55"/>
  <c r="C126" i="55"/>
  <c r="C136" i="55" s="1"/>
  <c r="D125" i="55"/>
  <c r="C125" i="55"/>
  <c r="C135" i="55" s="1"/>
  <c r="D124" i="55"/>
  <c r="C124" i="55"/>
  <c r="C134" i="55" s="1"/>
  <c r="D123" i="55"/>
  <c r="C123" i="55"/>
  <c r="C133" i="55" s="1"/>
  <c r="C121" i="55"/>
  <c r="C131" i="55" s="1"/>
  <c r="S118" i="55"/>
  <c r="R118" i="55"/>
  <c r="Q118" i="55"/>
  <c r="P118" i="55"/>
  <c r="O118" i="55"/>
  <c r="N118" i="55"/>
  <c r="M118" i="55"/>
  <c r="L118" i="55"/>
  <c r="K118" i="55"/>
  <c r="J118" i="55"/>
  <c r="I118" i="55"/>
  <c r="H118" i="55"/>
  <c r="G118" i="55"/>
  <c r="F118" i="55"/>
  <c r="E118" i="55"/>
  <c r="B110" i="55"/>
  <c r="S108" i="55"/>
  <c r="R108" i="55"/>
  <c r="Q108" i="55"/>
  <c r="P108" i="55"/>
  <c r="O108" i="55"/>
  <c r="N108" i="55"/>
  <c r="M108" i="55"/>
  <c r="L108" i="55"/>
  <c r="K108" i="55"/>
  <c r="J108" i="55"/>
  <c r="I108" i="55"/>
  <c r="H108" i="55"/>
  <c r="G108" i="55"/>
  <c r="F108" i="55"/>
  <c r="E108" i="55"/>
  <c r="C108" i="55"/>
  <c r="C118" i="55" s="1"/>
  <c r="D107" i="55"/>
  <c r="C107" i="55"/>
  <c r="D106" i="55"/>
  <c r="C106" i="55"/>
  <c r="B106" i="55"/>
  <c r="B116" i="55" s="1"/>
  <c r="B127" i="55" s="1"/>
  <c r="B137" i="55" s="1"/>
  <c r="D105" i="55"/>
  <c r="C105" i="55"/>
  <c r="C115" i="55" s="1"/>
  <c r="D104" i="55"/>
  <c r="C104" i="55"/>
  <c r="C114" i="55" s="1"/>
  <c r="B104" i="55"/>
  <c r="B114" i="55" s="1"/>
  <c r="B125" i="55" s="1"/>
  <c r="D103" i="55"/>
  <c r="C103" i="55"/>
  <c r="C113" i="55" s="1"/>
  <c r="D102" i="55"/>
  <c r="C102" i="55"/>
  <c r="C112" i="55" s="1"/>
  <c r="B102" i="55"/>
  <c r="B112" i="55" s="1"/>
  <c r="B123" i="55" s="1"/>
  <c r="B133" i="55" s="1"/>
  <c r="D101" i="55"/>
  <c r="D122" i="55" s="1"/>
  <c r="C100" i="55"/>
  <c r="C110" i="55" s="1"/>
  <c r="B97" i="55"/>
  <c r="D96" i="55"/>
  <c r="D95" i="55"/>
  <c r="D94" i="55"/>
  <c r="B94" i="55"/>
  <c r="D93" i="55"/>
  <c r="D92" i="55"/>
  <c r="B92" i="55"/>
  <c r="F91" i="55"/>
  <c r="E91" i="55"/>
  <c r="B91" i="55"/>
  <c r="D90" i="55"/>
  <c r="D89" i="55"/>
  <c r="C89" i="55"/>
  <c r="D88" i="55"/>
  <c r="D87" i="55"/>
  <c r="C87" i="55"/>
  <c r="D86" i="55"/>
  <c r="D85" i="55"/>
  <c r="C85" i="55"/>
  <c r="D84" i="55"/>
  <c r="D83" i="55"/>
  <c r="C83" i="55"/>
  <c r="B83" i="55"/>
  <c r="D82" i="55"/>
  <c r="D81" i="55"/>
  <c r="B81" i="55"/>
  <c r="N80" i="55"/>
  <c r="M80" i="55"/>
  <c r="L80" i="55"/>
  <c r="K80" i="55"/>
  <c r="F80" i="55"/>
  <c r="E80" i="55"/>
  <c r="B80" i="55"/>
  <c r="F79" i="55"/>
  <c r="C79" i="55"/>
  <c r="K78" i="55"/>
  <c r="E78" i="55"/>
  <c r="C76" i="55"/>
  <c r="C75" i="55"/>
  <c r="C74" i="55"/>
  <c r="C73" i="55"/>
  <c r="C72" i="55"/>
  <c r="C61" i="55"/>
  <c r="C69" i="55" s="1"/>
  <c r="C60" i="55"/>
  <c r="C68" i="55" s="1"/>
  <c r="C59" i="55"/>
  <c r="C67" i="55" s="1"/>
  <c r="C58" i="55"/>
  <c r="C66" i="55" s="1"/>
  <c r="F57" i="55"/>
  <c r="E57" i="55"/>
  <c r="C57" i="55"/>
  <c r="C65" i="55" s="1"/>
  <c r="C55" i="55"/>
  <c r="C63" i="55" s="1"/>
  <c r="S52" i="55"/>
  <c r="S68" i="55" s="1"/>
  <c r="R52" i="55"/>
  <c r="R68" i="55" s="1"/>
  <c r="Q52" i="55"/>
  <c r="Q68" i="55" s="1"/>
  <c r="P52" i="55"/>
  <c r="P68" i="55" s="1"/>
  <c r="O52" i="55"/>
  <c r="O68" i="55" s="1"/>
  <c r="N52" i="55"/>
  <c r="N68" i="55" s="1"/>
  <c r="M52" i="55"/>
  <c r="M68" i="55" s="1"/>
  <c r="L52" i="55"/>
  <c r="L68" i="55" s="1"/>
  <c r="K52" i="55"/>
  <c r="K68" i="55" s="1"/>
  <c r="J52" i="55"/>
  <c r="J68" i="55" s="1"/>
  <c r="I52" i="55"/>
  <c r="I68" i="55" s="1"/>
  <c r="H52" i="55"/>
  <c r="H68" i="55" s="1"/>
  <c r="G52" i="55"/>
  <c r="G68" i="55" s="1"/>
  <c r="F52" i="55"/>
  <c r="F68" i="55" s="1"/>
  <c r="E52" i="55"/>
  <c r="E68" i="55" s="1"/>
  <c r="S44" i="55"/>
  <c r="S60" i="55" s="1"/>
  <c r="R44" i="55"/>
  <c r="R60" i="55" s="1"/>
  <c r="Q44" i="55"/>
  <c r="Q60" i="55" s="1"/>
  <c r="P44" i="55"/>
  <c r="P60" i="55" s="1"/>
  <c r="O44" i="55"/>
  <c r="O60" i="55" s="1"/>
  <c r="N44" i="55"/>
  <c r="N60" i="55" s="1"/>
  <c r="M44" i="55"/>
  <c r="M60" i="55" s="1"/>
  <c r="L44" i="55"/>
  <c r="L60" i="55" s="1"/>
  <c r="K44" i="55"/>
  <c r="K60" i="55" s="1"/>
  <c r="J44" i="55"/>
  <c r="J60" i="55" s="1"/>
  <c r="I44" i="55"/>
  <c r="I60" i="55" s="1"/>
  <c r="H44" i="55"/>
  <c r="H60" i="55" s="1"/>
  <c r="G44" i="55"/>
  <c r="G60" i="55" s="1"/>
  <c r="F44" i="55"/>
  <c r="E44" i="55"/>
  <c r="E60" i="55" s="1"/>
  <c r="C44" i="55"/>
  <c r="C52" i="55" s="1"/>
  <c r="D43" i="55"/>
  <c r="D42" i="55"/>
  <c r="D41" i="55"/>
  <c r="D40" i="55"/>
  <c r="C38" i="55"/>
  <c r="C46" i="55" s="1"/>
  <c r="S35" i="55"/>
  <c r="S67" i="55" s="1"/>
  <c r="R35" i="55"/>
  <c r="R67" i="55" s="1"/>
  <c r="Q35" i="55"/>
  <c r="Q67" i="55" s="1"/>
  <c r="P35" i="55"/>
  <c r="P67" i="55" s="1"/>
  <c r="O35" i="55"/>
  <c r="O67" i="55" s="1"/>
  <c r="N35" i="55"/>
  <c r="N67" i="55" s="1"/>
  <c r="M35" i="55"/>
  <c r="M67" i="55" s="1"/>
  <c r="L35" i="55"/>
  <c r="L67" i="55" s="1"/>
  <c r="K35" i="55"/>
  <c r="K67" i="55" s="1"/>
  <c r="J35" i="55"/>
  <c r="J67" i="55" s="1"/>
  <c r="I35" i="55"/>
  <c r="I67" i="55" s="1"/>
  <c r="H35" i="55"/>
  <c r="H67" i="55" s="1"/>
  <c r="G35" i="55"/>
  <c r="G67" i="55" s="1"/>
  <c r="F35" i="55"/>
  <c r="F67" i="55" s="1"/>
  <c r="E35" i="55"/>
  <c r="E67" i="55" s="1"/>
  <c r="S27" i="55"/>
  <c r="S59" i="55" s="1"/>
  <c r="R27" i="55"/>
  <c r="R59" i="55" s="1"/>
  <c r="Q27" i="55"/>
  <c r="Q59" i="55" s="1"/>
  <c r="P27" i="55"/>
  <c r="P59" i="55" s="1"/>
  <c r="O27" i="55"/>
  <c r="O59" i="55" s="1"/>
  <c r="N27" i="55"/>
  <c r="N59" i="55" s="1"/>
  <c r="M27" i="55"/>
  <c r="M59" i="55" s="1"/>
  <c r="L27" i="55"/>
  <c r="L59" i="55" s="1"/>
  <c r="K27" i="55"/>
  <c r="K59" i="55" s="1"/>
  <c r="J27" i="55"/>
  <c r="J59" i="55" s="1"/>
  <c r="I27" i="55"/>
  <c r="I59" i="55" s="1"/>
  <c r="H27" i="55"/>
  <c r="H59" i="55" s="1"/>
  <c r="G27" i="55"/>
  <c r="G59" i="55" s="1"/>
  <c r="F27" i="55"/>
  <c r="F59" i="55" s="1"/>
  <c r="E27" i="55"/>
  <c r="E59" i="55" s="1"/>
  <c r="C27" i="55"/>
  <c r="C35" i="55" s="1"/>
  <c r="D26" i="55"/>
  <c r="C26" i="55"/>
  <c r="C34" i="55" s="1"/>
  <c r="D25" i="55"/>
  <c r="C25" i="55"/>
  <c r="C33" i="55" s="1"/>
  <c r="D24" i="55"/>
  <c r="C24" i="55"/>
  <c r="C32" i="55" s="1"/>
  <c r="D23" i="55"/>
  <c r="C23" i="55"/>
  <c r="C31" i="55" s="1"/>
  <c r="C21" i="55"/>
  <c r="C29" i="55" s="1"/>
  <c r="C9" i="55"/>
  <c r="C18" i="55" s="1"/>
  <c r="C8" i="55"/>
  <c r="C17" i="55" s="1"/>
  <c r="B8" i="55"/>
  <c r="B17" i="55" s="1"/>
  <c r="D7" i="55"/>
  <c r="C7" i="55"/>
  <c r="C16" i="55" s="1"/>
  <c r="D6" i="55"/>
  <c r="C6" i="55"/>
  <c r="C15" i="55" s="1"/>
  <c r="D5" i="55"/>
  <c r="C5" i="55"/>
  <c r="C14" i="55" s="1"/>
  <c r="C4" i="55"/>
  <c r="C13" i="55" s="1"/>
  <c r="B4" i="55"/>
  <c r="B13" i="55" s="1"/>
  <c r="D3" i="55"/>
  <c r="D22" i="55" s="1"/>
  <c r="D39" i="55" s="1"/>
  <c r="D56" i="55" s="1"/>
  <c r="C2" i="55"/>
  <c r="C11" i="55" s="1"/>
  <c r="B134" i="53"/>
  <c r="B132" i="53"/>
  <c r="S129" i="53"/>
  <c r="R129" i="53"/>
  <c r="Q129" i="53"/>
  <c r="P129" i="53"/>
  <c r="O129" i="53"/>
  <c r="N129" i="53"/>
  <c r="M129" i="53"/>
  <c r="L129" i="53"/>
  <c r="K129" i="53"/>
  <c r="J129" i="53"/>
  <c r="I129" i="53"/>
  <c r="H129" i="53"/>
  <c r="G129" i="53"/>
  <c r="F129" i="53"/>
  <c r="E129" i="53"/>
  <c r="C128" i="53"/>
  <c r="C127" i="53"/>
  <c r="C126" i="53"/>
  <c r="C125" i="53"/>
  <c r="C124" i="53"/>
  <c r="C123" i="53"/>
  <c r="C122" i="53"/>
  <c r="C121" i="53"/>
  <c r="E120" i="53"/>
  <c r="B119" i="53"/>
  <c r="S117" i="53"/>
  <c r="R117" i="53"/>
  <c r="Q117" i="53"/>
  <c r="P117" i="53"/>
  <c r="O117" i="53"/>
  <c r="N117" i="53"/>
  <c r="M117" i="53"/>
  <c r="L117" i="53"/>
  <c r="K117" i="53"/>
  <c r="J117" i="53"/>
  <c r="I117" i="53"/>
  <c r="H117" i="53"/>
  <c r="G117" i="53"/>
  <c r="F117" i="53"/>
  <c r="E117" i="53"/>
  <c r="D116" i="53"/>
  <c r="D115" i="53"/>
  <c r="D114" i="53"/>
  <c r="D113" i="53"/>
  <c r="D112" i="53"/>
  <c r="D111" i="53"/>
  <c r="D110" i="53"/>
  <c r="D109" i="53"/>
  <c r="S104" i="53"/>
  <c r="R104" i="53"/>
  <c r="Q104" i="53"/>
  <c r="P104" i="53"/>
  <c r="O104" i="53"/>
  <c r="N104" i="53"/>
  <c r="M104" i="53"/>
  <c r="L104" i="53"/>
  <c r="K104" i="53"/>
  <c r="J104" i="53"/>
  <c r="I104" i="53"/>
  <c r="H104" i="53"/>
  <c r="G104" i="53"/>
  <c r="F104" i="53"/>
  <c r="E104" i="53"/>
  <c r="C103" i="53"/>
  <c r="C102" i="53"/>
  <c r="C101" i="53"/>
  <c r="C100" i="53"/>
  <c r="C99" i="53"/>
  <c r="C98" i="53"/>
  <c r="C97" i="53"/>
  <c r="C96" i="53"/>
  <c r="B94" i="53"/>
  <c r="S92" i="53"/>
  <c r="R92" i="53"/>
  <c r="Q92" i="53"/>
  <c r="P92" i="53"/>
  <c r="O92" i="53"/>
  <c r="N92" i="53"/>
  <c r="M92" i="53"/>
  <c r="L92" i="53"/>
  <c r="K92" i="53"/>
  <c r="J92" i="53"/>
  <c r="I92" i="53"/>
  <c r="H92" i="53"/>
  <c r="G92" i="53"/>
  <c r="F92" i="53"/>
  <c r="E92" i="53"/>
  <c r="D91" i="53"/>
  <c r="D90" i="53"/>
  <c r="D89" i="53"/>
  <c r="D88" i="53"/>
  <c r="D87" i="53"/>
  <c r="D86" i="53"/>
  <c r="D85" i="53"/>
  <c r="D84" i="53"/>
  <c r="C82" i="53"/>
  <c r="C107" i="53" s="1"/>
  <c r="C119" i="53" s="1"/>
  <c r="C79" i="53"/>
  <c r="C78" i="53"/>
  <c r="C77" i="53"/>
  <c r="S71" i="53"/>
  <c r="R71" i="53"/>
  <c r="Q71" i="53"/>
  <c r="P71" i="53"/>
  <c r="O71" i="53"/>
  <c r="N71" i="53"/>
  <c r="M71" i="53"/>
  <c r="L71" i="53"/>
  <c r="K71" i="53"/>
  <c r="J71" i="53"/>
  <c r="I71" i="53"/>
  <c r="H71" i="53"/>
  <c r="G71" i="53"/>
  <c r="F71" i="53"/>
  <c r="E71" i="53"/>
  <c r="S70" i="53"/>
  <c r="R70" i="53"/>
  <c r="Q70" i="53"/>
  <c r="P70" i="53"/>
  <c r="O70" i="53"/>
  <c r="N70" i="53"/>
  <c r="M70" i="53"/>
  <c r="L70" i="53"/>
  <c r="K70" i="53"/>
  <c r="J70" i="53"/>
  <c r="I70" i="53"/>
  <c r="H70" i="53"/>
  <c r="G70" i="53"/>
  <c r="F70" i="53"/>
  <c r="E70" i="53"/>
  <c r="S69" i="53"/>
  <c r="R69" i="53"/>
  <c r="Q69" i="53"/>
  <c r="P69" i="53"/>
  <c r="O69" i="53"/>
  <c r="N69" i="53"/>
  <c r="M69" i="53"/>
  <c r="L69" i="53"/>
  <c r="K69" i="53"/>
  <c r="J69" i="53"/>
  <c r="I69" i="53"/>
  <c r="H69" i="53"/>
  <c r="G69" i="53"/>
  <c r="F69" i="53"/>
  <c r="E69" i="53"/>
  <c r="S67" i="53"/>
  <c r="R67" i="53"/>
  <c r="Q67" i="53"/>
  <c r="P67" i="53"/>
  <c r="O67" i="53"/>
  <c r="N67" i="53"/>
  <c r="M67" i="53"/>
  <c r="L67" i="53"/>
  <c r="K67" i="53"/>
  <c r="J67" i="53"/>
  <c r="I67" i="53"/>
  <c r="H67" i="53"/>
  <c r="G67" i="53"/>
  <c r="F67" i="53"/>
  <c r="E67" i="53"/>
  <c r="S66" i="53"/>
  <c r="R66" i="53"/>
  <c r="Q66" i="53"/>
  <c r="P66" i="53"/>
  <c r="O66" i="53"/>
  <c r="N66" i="53"/>
  <c r="M66" i="53"/>
  <c r="L66" i="53"/>
  <c r="K66" i="53"/>
  <c r="J66" i="53"/>
  <c r="I66" i="53"/>
  <c r="H66" i="53"/>
  <c r="G66" i="53"/>
  <c r="F66" i="53"/>
  <c r="E66" i="53"/>
  <c r="E65" i="53"/>
  <c r="C62" i="53"/>
  <c r="C74" i="53" s="1"/>
  <c r="S59" i="53"/>
  <c r="R59" i="53"/>
  <c r="Q59" i="53"/>
  <c r="P59" i="53"/>
  <c r="O59" i="53"/>
  <c r="N59" i="53"/>
  <c r="M59" i="53"/>
  <c r="L59" i="53"/>
  <c r="K59" i="53"/>
  <c r="J59" i="53"/>
  <c r="I59" i="53"/>
  <c r="H59" i="53"/>
  <c r="G59" i="53"/>
  <c r="F59" i="53"/>
  <c r="E59" i="53"/>
  <c r="S58" i="53"/>
  <c r="R58" i="53"/>
  <c r="Q58" i="53"/>
  <c r="P58" i="53"/>
  <c r="O58" i="53"/>
  <c r="N58" i="53"/>
  <c r="M58" i="53"/>
  <c r="L58" i="53"/>
  <c r="K58" i="53"/>
  <c r="J58" i="53"/>
  <c r="I58" i="53"/>
  <c r="H58" i="53"/>
  <c r="G58" i="53"/>
  <c r="F58" i="53"/>
  <c r="E58" i="53"/>
  <c r="S57" i="53"/>
  <c r="R57" i="53"/>
  <c r="Q57" i="53"/>
  <c r="P57" i="53"/>
  <c r="O57" i="53"/>
  <c r="N57" i="53"/>
  <c r="M57" i="53"/>
  <c r="L57" i="53"/>
  <c r="K57" i="53"/>
  <c r="J57" i="53"/>
  <c r="I57" i="53"/>
  <c r="H57" i="53"/>
  <c r="G57" i="53"/>
  <c r="F57" i="53"/>
  <c r="E57" i="53"/>
  <c r="S55" i="53"/>
  <c r="R55" i="53"/>
  <c r="Q55" i="53"/>
  <c r="P55" i="53"/>
  <c r="O55" i="53"/>
  <c r="N55" i="53"/>
  <c r="M55" i="53"/>
  <c r="L55" i="53"/>
  <c r="K55" i="53"/>
  <c r="J55" i="53"/>
  <c r="I55" i="53"/>
  <c r="H55" i="53"/>
  <c r="G55" i="53"/>
  <c r="F55" i="53"/>
  <c r="E55" i="53"/>
  <c r="S54" i="53"/>
  <c r="R54" i="53"/>
  <c r="Q54" i="53"/>
  <c r="P54" i="53"/>
  <c r="O54" i="53"/>
  <c r="N54" i="53"/>
  <c r="M54" i="53"/>
  <c r="L54" i="53"/>
  <c r="K54" i="53"/>
  <c r="J54" i="53"/>
  <c r="I54" i="53"/>
  <c r="H54" i="53"/>
  <c r="G54" i="53"/>
  <c r="F54" i="53"/>
  <c r="E54" i="53"/>
  <c r="C52" i="53"/>
  <c r="C64" i="53" s="1"/>
  <c r="E40" i="53"/>
  <c r="D37" i="53"/>
  <c r="D78" i="53" s="1"/>
  <c r="D34" i="53"/>
  <c r="D33" i="53"/>
  <c r="D32" i="53"/>
  <c r="D31" i="53"/>
  <c r="D30" i="53"/>
  <c r="D29" i="53"/>
  <c r="C28" i="53"/>
  <c r="C40" i="53" s="1"/>
  <c r="D12" i="53"/>
  <c r="D77" i="53" s="1"/>
  <c r="C12" i="53"/>
  <c r="C24" i="53" s="1"/>
  <c r="C37" i="53" s="1"/>
  <c r="C49" i="53" s="1"/>
  <c r="D9" i="53"/>
  <c r="C9" i="53"/>
  <c r="C21" i="53" s="1"/>
  <c r="C34" i="53" s="1"/>
  <c r="C46" i="53" s="1"/>
  <c r="C59" i="53" s="1"/>
  <c r="C71" i="53" s="1"/>
  <c r="D8" i="53"/>
  <c r="C8" i="53"/>
  <c r="C20" i="53" s="1"/>
  <c r="C33" i="53" s="1"/>
  <c r="C45" i="53" s="1"/>
  <c r="C58" i="53" s="1"/>
  <c r="C70" i="53" s="1"/>
  <c r="D7" i="53"/>
  <c r="C7" i="53"/>
  <c r="C19" i="53" s="1"/>
  <c r="C32" i="53" s="1"/>
  <c r="C44" i="53" s="1"/>
  <c r="D6" i="53"/>
  <c r="C6" i="53"/>
  <c r="C18" i="53" s="1"/>
  <c r="C31" i="53" s="1"/>
  <c r="C43" i="53" s="1"/>
  <c r="D5" i="53"/>
  <c r="C5" i="53"/>
  <c r="C17" i="53" s="1"/>
  <c r="C30" i="53" s="1"/>
  <c r="C42" i="53" s="1"/>
  <c r="C55" i="53" s="1"/>
  <c r="C67" i="53" s="1"/>
  <c r="D4" i="53"/>
  <c r="C4" i="53"/>
  <c r="C16" i="53" s="1"/>
  <c r="C29" i="53" s="1"/>
  <c r="C41" i="53" s="1"/>
  <c r="C54" i="53" s="1"/>
  <c r="C66" i="53" s="1"/>
  <c r="D3" i="53"/>
  <c r="D28" i="53" s="1"/>
  <c r="D53" i="53" s="1"/>
  <c r="D83" i="53" s="1"/>
  <c r="C92" i="53" s="1"/>
  <c r="C3" i="53"/>
  <c r="C15" i="53" s="1"/>
  <c r="C83" i="53" s="1"/>
  <c r="C95" i="53" s="1"/>
  <c r="C2" i="53"/>
  <c r="C14" i="53" s="1"/>
  <c r="C27" i="53" s="1"/>
  <c r="C39" i="53" s="1"/>
  <c r="B216" i="24"/>
  <c r="B215" i="24"/>
  <c r="B213" i="24"/>
  <c r="S209" i="24"/>
  <c r="R209" i="24"/>
  <c r="Q209" i="24"/>
  <c r="P209" i="24"/>
  <c r="O209" i="24"/>
  <c r="N209" i="24"/>
  <c r="M209" i="24"/>
  <c r="L209" i="24"/>
  <c r="K209" i="24"/>
  <c r="J209" i="24"/>
  <c r="I209" i="24"/>
  <c r="H209" i="24"/>
  <c r="G209" i="24"/>
  <c r="F209" i="24"/>
  <c r="E209" i="24"/>
  <c r="B194" i="24"/>
  <c r="S191" i="24"/>
  <c r="R191" i="24"/>
  <c r="Q191" i="24"/>
  <c r="P191" i="24"/>
  <c r="O191" i="24"/>
  <c r="N191" i="24"/>
  <c r="M191" i="24"/>
  <c r="L191" i="24"/>
  <c r="K191" i="24"/>
  <c r="J191" i="24"/>
  <c r="I191" i="24"/>
  <c r="H191" i="24"/>
  <c r="G191" i="24"/>
  <c r="F191" i="24"/>
  <c r="E191" i="24"/>
  <c r="C177" i="24"/>
  <c r="C195" i="24" s="1"/>
  <c r="S173" i="24"/>
  <c r="R173" i="24"/>
  <c r="Q173" i="24"/>
  <c r="P173" i="24"/>
  <c r="O173" i="24"/>
  <c r="N173" i="24"/>
  <c r="M173" i="24"/>
  <c r="L173" i="24"/>
  <c r="K173" i="24"/>
  <c r="J173" i="24"/>
  <c r="I173" i="24"/>
  <c r="H173" i="24"/>
  <c r="G173" i="24"/>
  <c r="F173" i="24"/>
  <c r="E173" i="24"/>
  <c r="B158" i="24"/>
  <c r="C156" i="24"/>
  <c r="C174" i="24" s="1"/>
  <c r="C192" i="24" s="1"/>
  <c r="C210" i="24" s="1"/>
  <c r="S155" i="24"/>
  <c r="R155" i="24"/>
  <c r="Q155" i="24"/>
  <c r="P155" i="24"/>
  <c r="O155" i="24"/>
  <c r="N155" i="24"/>
  <c r="M155" i="24"/>
  <c r="L155" i="24"/>
  <c r="K155" i="24"/>
  <c r="J155" i="24"/>
  <c r="I155" i="24"/>
  <c r="H155" i="24"/>
  <c r="G155" i="24"/>
  <c r="F155" i="24"/>
  <c r="E155" i="24"/>
  <c r="C155" i="24"/>
  <c r="C173" i="24" s="1"/>
  <c r="C191" i="24" s="1"/>
  <c r="C209" i="24" s="1"/>
  <c r="C141" i="24"/>
  <c r="C159" i="24" s="1"/>
  <c r="C140" i="24"/>
  <c r="C158" i="24" s="1"/>
  <c r="D124" i="24"/>
  <c r="B122" i="24"/>
  <c r="C120" i="24"/>
  <c r="C137" i="24" s="1"/>
  <c r="C154" i="24" s="1"/>
  <c r="C172" i="24" s="1"/>
  <c r="C190" i="24" s="1"/>
  <c r="C208" i="24" s="1"/>
  <c r="C119" i="24"/>
  <c r="C136" i="24" s="1"/>
  <c r="C153" i="24" s="1"/>
  <c r="C171" i="24" s="1"/>
  <c r="C189" i="24" s="1"/>
  <c r="C207" i="24" s="1"/>
  <c r="C118" i="24"/>
  <c r="C135" i="24" s="1"/>
  <c r="C152" i="24" s="1"/>
  <c r="C170" i="24" s="1"/>
  <c r="C188" i="24" s="1"/>
  <c r="C206" i="24" s="1"/>
  <c r="C117" i="24"/>
  <c r="C134" i="24" s="1"/>
  <c r="C151" i="24" s="1"/>
  <c r="C169" i="24" s="1"/>
  <c r="C187" i="24" s="1"/>
  <c r="C205" i="24" s="1"/>
  <c r="C116" i="24"/>
  <c r="C133" i="24" s="1"/>
  <c r="C150" i="24" s="1"/>
  <c r="C168" i="24" s="1"/>
  <c r="C186" i="24" s="1"/>
  <c r="C204" i="24" s="1"/>
  <c r="C115" i="24"/>
  <c r="C132" i="24" s="1"/>
  <c r="C149" i="24" s="1"/>
  <c r="C167" i="24" s="1"/>
  <c r="C185" i="24" s="1"/>
  <c r="C203" i="24" s="1"/>
  <c r="C114" i="24"/>
  <c r="C131" i="24" s="1"/>
  <c r="C148" i="24" s="1"/>
  <c r="C166" i="24" s="1"/>
  <c r="C184" i="24" s="1"/>
  <c r="C202" i="24" s="1"/>
  <c r="C113" i="24"/>
  <c r="C130" i="24" s="1"/>
  <c r="C147" i="24" s="1"/>
  <c r="C165" i="24" s="1"/>
  <c r="C183" i="24" s="1"/>
  <c r="C201" i="24" s="1"/>
  <c r="C112" i="24"/>
  <c r="C129" i="24" s="1"/>
  <c r="C146" i="24" s="1"/>
  <c r="C164" i="24" s="1"/>
  <c r="C182" i="24" s="1"/>
  <c r="C200" i="24" s="1"/>
  <c r="C111" i="24"/>
  <c r="C128" i="24" s="1"/>
  <c r="C145" i="24" s="1"/>
  <c r="C163" i="24" s="1"/>
  <c r="C181" i="24" s="1"/>
  <c r="C199" i="24" s="1"/>
  <c r="C110" i="24"/>
  <c r="C127" i="24" s="1"/>
  <c r="C144" i="24" s="1"/>
  <c r="C162" i="24" s="1"/>
  <c r="C180" i="24" s="1"/>
  <c r="C198" i="24" s="1"/>
  <c r="C109" i="24"/>
  <c r="C126" i="24" s="1"/>
  <c r="C143" i="24" s="1"/>
  <c r="C161" i="24" s="1"/>
  <c r="C179" i="24" s="1"/>
  <c r="C197" i="24" s="1"/>
  <c r="C108" i="24"/>
  <c r="C125" i="24" s="1"/>
  <c r="C142" i="24" s="1"/>
  <c r="C160" i="24" s="1"/>
  <c r="C178" i="24" s="1"/>
  <c r="C196" i="24" s="1"/>
  <c r="C107" i="24"/>
  <c r="C124" i="24" s="1"/>
  <c r="D106" i="24"/>
  <c r="D123" i="24" s="1"/>
  <c r="C105" i="24"/>
  <c r="C122" i="24" s="1"/>
  <c r="C103" i="24"/>
  <c r="C102" i="24"/>
  <c r="C101" i="24"/>
  <c r="C100" i="24"/>
  <c r="C99" i="24"/>
  <c r="C98" i="24"/>
  <c r="C97" i="24"/>
  <c r="C96" i="24"/>
  <c r="C95" i="24"/>
  <c r="C94" i="24"/>
  <c r="C93" i="24"/>
  <c r="C92" i="24"/>
  <c r="C91" i="24"/>
  <c r="E90" i="24"/>
  <c r="D90" i="24"/>
  <c r="C90" i="24"/>
  <c r="C89" i="24"/>
  <c r="E88" i="24"/>
  <c r="D88" i="24"/>
  <c r="C88" i="24"/>
  <c r="C85" i="24"/>
  <c r="C84" i="24"/>
  <c r="C83" i="24"/>
  <c r="C80" i="24"/>
  <c r="S77" i="24"/>
  <c r="R77" i="24"/>
  <c r="Q77" i="24"/>
  <c r="P77" i="24"/>
  <c r="O77" i="24"/>
  <c r="N77" i="24"/>
  <c r="M77" i="24"/>
  <c r="L77" i="24"/>
  <c r="K77" i="24"/>
  <c r="J77" i="24"/>
  <c r="I77" i="24"/>
  <c r="H77" i="24"/>
  <c r="G77" i="24"/>
  <c r="F77" i="24"/>
  <c r="E77" i="24"/>
  <c r="C77" i="24"/>
  <c r="S76" i="24"/>
  <c r="R76" i="24"/>
  <c r="Q76" i="24"/>
  <c r="P76" i="24"/>
  <c r="O76" i="24"/>
  <c r="N76" i="24"/>
  <c r="M76" i="24"/>
  <c r="L76" i="24"/>
  <c r="K76" i="24"/>
  <c r="J76" i="24"/>
  <c r="I76" i="24"/>
  <c r="H76" i="24"/>
  <c r="G76" i="24"/>
  <c r="F76" i="24"/>
  <c r="E76" i="24"/>
  <c r="C76" i="24"/>
  <c r="S75" i="24"/>
  <c r="R75" i="24"/>
  <c r="Q75" i="24"/>
  <c r="P75" i="24"/>
  <c r="O75" i="24"/>
  <c r="N75" i="24"/>
  <c r="M75" i="24"/>
  <c r="L75" i="24"/>
  <c r="K75" i="24"/>
  <c r="J75" i="24"/>
  <c r="I75" i="24"/>
  <c r="H75" i="24"/>
  <c r="G75" i="24"/>
  <c r="F75" i="24"/>
  <c r="E75" i="24"/>
  <c r="C73" i="24"/>
  <c r="S72" i="24"/>
  <c r="R72" i="24"/>
  <c r="Q72" i="24"/>
  <c r="P72" i="24"/>
  <c r="O72" i="24"/>
  <c r="N72" i="24"/>
  <c r="M72" i="24"/>
  <c r="L72" i="24"/>
  <c r="K72" i="24"/>
  <c r="J72" i="24"/>
  <c r="I72" i="24"/>
  <c r="H72" i="24"/>
  <c r="G72" i="24"/>
  <c r="F72" i="24"/>
  <c r="E72" i="24"/>
  <c r="C72" i="24"/>
  <c r="S71" i="24"/>
  <c r="R71" i="24"/>
  <c r="Q71" i="24"/>
  <c r="P71" i="24"/>
  <c r="O71" i="24"/>
  <c r="N71" i="24"/>
  <c r="M71" i="24"/>
  <c r="L71" i="24"/>
  <c r="K71" i="24"/>
  <c r="J71" i="24"/>
  <c r="I71" i="24"/>
  <c r="H71" i="24"/>
  <c r="G71" i="24"/>
  <c r="F71" i="24"/>
  <c r="E71" i="24"/>
  <c r="C71" i="24"/>
  <c r="E70" i="24"/>
  <c r="C69" i="24"/>
  <c r="C67" i="24"/>
  <c r="S64" i="24"/>
  <c r="R64" i="24"/>
  <c r="Q64" i="24"/>
  <c r="P64" i="24"/>
  <c r="O64" i="24"/>
  <c r="N64" i="24"/>
  <c r="M64" i="24"/>
  <c r="L64" i="24"/>
  <c r="K64" i="24"/>
  <c r="J64" i="24"/>
  <c r="I64" i="24"/>
  <c r="H64" i="24"/>
  <c r="G64" i="24"/>
  <c r="F64" i="24"/>
  <c r="E64" i="24"/>
  <c r="C64" i="24"/>
  <c r="S63" i="24"/>
  <c r="R63" i="24"/>
  <c r="Q63" i="24"/>
  <c r="P63" i="24"/>
  <c r="O63" i="24"/>
  <c r="N63" i="24"/>
  <c r="M63" i="24"/>
  <c r="L63" i="24"/>
  <c r="K63" i="24"/>
  <c r="J63" i="24"/>
  <c r="I63" i="24"/>
  <c r="H63" i="24"/>
  <c r="G63" i="24"/>
  <c r="F63" i="24"/>
  <c r="E63" i="24"/>
  <c r="C63" i="24"/>
  <c r="S62" i="24"/>
  <c r="R62" i="24"/>
  <c r="Q62" i="24"/>
  <c r="P62" i="24"/>
  <c r="O62" i="24"/>
  <c r="N62" i="24"/>
  <c r="M62" i="24"/>
  <c r="L62" i="24"/>
  <c r="K62" i="24"/>
  <c r="J62" i="24"/>
  <c r="I62" i="24"/>
  <c r="H62" i="24"/>
  <c r="G62" i="24"/>
  <c r="F62" i="24"/>
  <c r="E62" i="24"/>
  <c r="C60" i="24"/>
  <c r="S59" i="24"/>
  <c r="R59" i="24"/>
  <c r="Q59" i="24"/>
  <c r="P59" i="24"/>
  <c r="O59" i="24"/>
  <c r="N59" i="24"/>
  <c r="M59" i="24"/>
  <c r="L59" i="24"/>
  <c r="K59" i="24"/>
  <c r="J59" i="24"/>
  <c r="I59" i="24"/>
  <c r="H59" i="24"/>
  <c r="G59" i="24"/>
  <c r="F59" i="24"/>
  <c r="E59" i="24"/>
  <c r="C59" i="24"/>
  <c r="S58" i="24"/>
  <c r="R58" i="24"/>
  <c r="Q58" i="24"/>
  <c r="P58" i="24"/>
  <c r="O58" i="24"/>
  <c r="N58" i="24"/>
  <c r="M58" i="24"/>
  <c r="L58" i="24"/>
  <c r="K58" i="24"/>
  <c r="J58" i="24"/>
  <c r="I58" i="24"/>
  <c r="H58" i="24"/>
  <c r="G58" i="24"/>
  <c r="F58" i="24"/>
  <c r="E58" i="24"/>
  <c r="C58" i="24"/>
  <c r="C56" i="24"/>
  <c r="C53" i="24"/>
  <c r="C50" i="24"/>
  <c r="C49" i="24"/>
  <c r="C46" i="24"/>
  <c r="C45" i="24"/>
  <c r="C44" i="24"/>
  <c r="E43" i="24"/>
  <c r="C43" i="24"/>
  <c r="C42" i="24"/>
  <c r="C40" i="24"/>
  <c r="D37" i="24"/>
  <c r="C37" i="24"/>
  <c r="D36" i="24"/>
  <c r="C36" i="24"/>
  <c r="D35" i="24"/>
  <c r="D34" i="24"/>
  <c r="C33" i="24"/>
  <c r="D32" i="24"/>
  <c r="C32" i="24"/>
  <c r="D31" i="24"/>
  <c r="C31" i="24"/>
  <c r="C30" i="24"/>
  <c r="C29" i="24"/>
  <c r="C26" i="24"/>
  <c r="C23" i="24"/>
  <c r="C22" i="24"/>
  <c r="C19" i="24"/>
  <c r="C18" i="24"/>
  <c r="C17" i="24"/>
  <c r="C16" i="24"/>
  <c r="C15" i="24"/>
  <c r="C13" i="24"/>
  <c r="D10" i="24"/>
  <c r="C10" i="24"/>
  <c r="D9" i="24"/>
  <c r="C9" i="24"/>
  <c r="D8" i="24"/>
  <c r="D7" i="24"/>
  <c r="C6" i="24"/>
  <c r="D5" i="24"/>
  <c r="C5" i="24"/>
  <c r="D4" i="24"/>
  <c r="C4" i="24"/>
  <c r="D3" i="24"/>
  <c r="D30" i="24" s="1"/>
  <c r="D57" i="24" s="1"/>
  <c r="C3" i="24"/>
  <c r="C2" i="24"/>
  <c r="H51" i="6"/>
  <c r="C51" i="6"/>
  <c r="H50" i="6"/>
  <c r="C50" i="6"/>
  <c r="H48" i="6"/>
  <c r="H47" i="6"/>
  <c r="C47" i="6"/>
  <c r="H46" i="6"/>
  <c r="C46" i="6"/>
  <c r="H45" i="6"/>
  <c r="C45" i="6"/>
  <c r="I44" i="6"/>
  <c r="H44" i="6"/>
  <c r="D44" i="6"/>
  <c r="C44" i="6"/>
  <c r="H43" i="6"/>
  <c r="C43" i="6"/>
  <c r="H42" i="6"/>
  <c r="C42" i="6"/>
  <c r="B39" i="6"/>
  <c r="C38" i="6"/>
  <c r="H35" i="6"/>
  <c r="E35" i="6"/>
  <c r="C35" i="6"/>
  <c r="H34" i="6"/>
  <c r="E34" i="6"/>
  <c r="C34" i="6"/>
  <c r="H33" i="6"/>
  <c r="E33" i="6"/>
  <c r="C33" i="6"/>
  <c r="H32" i="6"/>
  <c r="E32" i="6"/>
  <c r="C32" i="6"/>
  <c r="H31" i="6"/>
  <c r="E31" i="6"/>
  <c r="C31" i="6"/>
  <c r="H30" i="6"/>
  <c r="E30" i="6"/>
  <c r="C30" i="6"/>
  <c r="H29" i="6"/>
  <c r="E29" i="6"/>
  <c r="C29" i="6"/>
  <c r="H28" i="6"/>
  <c r="E28" i="6"/>
  <c r="C28" i="6"/>
  <c r="H27" i="6"/>
  <c r="E27" i="6"/>
  <c r="C27" i="6"/>
  <c r="H26" i="6"/>
  <c r="E26" i="6"/>
  <c r="C26" i="6"/>
  <c r="H25" i="6"/>
  <c r="G25" i="6"/>
  <c r="E25" i="6"/>
  <c r="C25" i="6"/>
  <c r="B25" i="6"/>
  <c r="H24" i="6"/>
  <c r="E24" i="6"/>
  <c r="C24" i="6"/>
  <c r="H23" i="6"/>
  <c r="E23" i="6"/>
  <c r="C23" i="6"/>
  <c r="H22" i="6"/>
  <c r="E22" i="6"/>
  <c r="C22" i="6"/>
  <c r="H21" i="6"/>
  <c r="E21" i="6"/>
  <c r="C21" i="6"/>
  <c r="H20" i="6"/>
  <c r="E20" i="6"/>
  <c r="H19" i="6"/>
  <c r="E19" i="6"/>
  <c r="C19" i="6"/>
  <c r="H18" i="6"/>
  <c r="E18" i="6"/>
  <c r="C18" i="6"/>
  <c r="H17" i="6"/>
  <c r="E17" i="6"/>
  <c r="C17" i="6"/>
  <c r="H16" i="6"/>
  <c r="G16" i="6"/>
  <c r="E16" i="6"/>
  <c r="C16" i="6"/>
  <c r="B16" i="6"/>
  <c r="H15" i="6"/>
  <c r="E15" i="6"/>
  <c r="C15" i="6"/>
  <c r="H14" i="6"/>
  <c r="E14" i="6"/>
  <c r="C14" i="6"/>
  <c r="H13" i="6"/>
  <c r="E13" i="6"/>
  <c r="C13" i="6"/>
  <c r="H12" i="6"/>
  <c r="E12" i="6"/>
  <c r="C12" i="6"/>
  <c r="H11" i="6"/>
  <c r="E11" i="6"/>
  <c r="C11" i="6"/>
  <c r="H10" i="6"/>
  <c r="E10" i="6"/>
  <c r="C10" i="6"/>
  <c r="H9" i="6"/>
  <c r="E9" i="6"/>
  <c r="C9" i="6"/>
  <c r="H8" i="6"/>
  <c r="E8" i="6"/>
  <c r="C8" i="6"/>
  <c r="H7" i="6"/>
  <c r="E7" i="6"/>
  <c r="C7" i="6"/>
  <c r="H6" i="6"/>
  <c r="E6" i="6"/>
  <c r="C6" i="6"/>
  <c r="H5" i="6"/>
  <c r="E5" i="6"/>
  <c r="C5" i="6"/>
  <c r="H4" i="6"/>
  <c r="E4" i="6"/>
  <c r="C4" i="6"/>
  <c r="H3" i="6"/>
  <c r="G3" i="6"/>
  <c r="E3" i="6"/>
  <c r="C3" i="6"/>
  <c r="B3" i="6"/>
  <c r="I2" i="6"/>
  <c r="H2" i="6"/>
  <c r="E2" i="6"/>
  <c r="D2" i="6"/>
  <c r="C2" i="6"/>
  <c r="B69" i="4"/>
  <c r="B68" i="4"/>
  <c r="B66" i="4"/>
  <c r="N63" i="4"/>
  <c r="C63" i="4"/>
  <c r="C62" i="4"/>
  <c r="U61" i="4"/>
  <c r="U62" i="4" s="1"/>
  <c r="U63" i="4" s="1"/>
  <c r="T61" i="4"/>
  <c r="T62" i="4" s="1"/>
  <c r="T63" i="4" s="1"/>
  <c r="S61" i="4"/>
  <c r="S62" i="4" s="1"/>
  <c r="S63" i="4" s="1"/>
  <c r="R61" i="4"/>
  <c r="R62" i="4" s="1"/>
  <c r="R63" i="4" s="1"/>
  <c r="Q61" i="4"/>
  <c r="Q62" i="4" s="1"/>
  <c r="Q63" i="4" s="1"/>
  <c r="P61" i="4"/>
  <c r="P62" i="4" s="1"/>
  <c r="P63" i="4" s="1"/>
  <c r="O61" i="4"/>
  <c r="O62" i="4" s="1"/>
  <c r="O63" i="4" s="1"/>
  <c r="N61" i="4"/>
  <c r="N62" i="4" s="1"/>
  <c r="M61" i="4"/>
  <c r="M62" i="4" s="1"/>
  <c r="M63" i="4" s="1"/>
  <c r="L61" i="4"/>
  <c r="L62" i="4" s="1"/>
  <c r="L63" i="4" s="1"/>
  <c r="K61" i="4"/>
  <c r="K62" i="4" s="1"/>
  <c r="K63" i="4" s="1"/>
  <c r="J61" i="4"/>
  <c r="J62" i="4" s="1"/>
  <c r="J63" i="4" s="1"/>
  <c r="I61" i="4"/>
  <c r="I62" i="4" s="1"/>
  <c r="I63" i="4" s="1"/>
  <c r="H61" i="4"/>
  <c r="H62" i="4" s="1"/>
  <c r="H63" i="4" s="1"/>
  <c r="G61" i="4"/>
  <c r="G62" i="4" s="1"/>
  <c r="G63" i="4" s="1"/>
  <c r="C61" i="4"/>
  <c r="C60" i="4"/>
  <c r="C59" i="4"/>
  <c r="C58" i="4"/>
  <c r="C57" i="4"/>
  <c r="C56" i="4"/>
  <c r="C55" i="4"/>
  <c r="C54" i="4"/>
  <c r="C53" i="4"/>
  <c r="C52" i="4"/>
  <c r="C51" i="4"/>
  <c r="C50" i="4"/>
  <c r="C49" i="4"/>
  <c r="K47" i="4"/>
  <c r="C47" i="4"/>
  <c r="T47" i="4"/>
  <c r="C46" i="4"/>
  <c r="U45" i="4"/>
  <c r="U46" i="4" s="1"/>
  <c r="U47" i="4" s="1"/>
  <c r="T45" i="4"/>
  <c r="T46" i="4" s="1"/>
  <c r="S45" i="4"/>
  <c r="S46" i="4" s="1"/>
  <c r="S47" i="4" s="1"/>
  <c r="R45" i="4"/>
  <c r="R46" i="4" s="1"/>
  <c r="R47" i="4" s="1"/>
  <c r="Q45" i="4"/>
  <c r="Q46" i="4" s="1"/>
  <c r="Q47" i="4" s="1"/>
  <c r="P45" i="4"/>
  <c r="P46" i="4" s="1"/>
  <c r="P47" i="4" s="1"/>
  <c r="O45" i="4"/>
  <c r="O46" i="4" s="1"/>
  <c r="O47" i="4" s="1"/>
  <c r="N45" i="4"/>
  <c r="N46" i="4" s="1"/>
  <c r="N47" i="4" s="1"/>
  <c r="M45" i="4"/>
  <c r="M46" i="4" s="1"/>
  <c r="M47" i="4" s="1"/>
  <c r="L45" i="4"/>
  <c r="L46" i="4" s="1"/>
  <c r="L47" i="4" s="1"/>
  <c r="K45" i="4"/>
  <c r="K46" i="4" s="1"/>
  <c r="J45" i="4"/>
  <c r="J46" i="4" s="1"/>
  <c r="J47" i="4" s="1"/>
  <c r="I45" i="4"/>
  <c r="I46" i="4" s="1"/>
  <c r="H45" i="4"/>
  <c r="H46" i="4" s="1"/>
  <c r="H47" i="4" s="1"/>
  <c r="G45" i="4"/>
  <c r="G46" i="4" s="1"/>
  <c r="G47" i="4" s="1"/>
  <c r="E45" i="4"/>
  <c r="E46" i="4" s="1"/>
  <c r="C45" i="4"/>
  <c r="F44" i="4"/>
  <c r="D44" i="4" s="1"/>
  <c r="C44" i="4"/>
  <c r="F43" i="4"/>
  <c r="D43" i="4" s="1"/>
  <c r="C43" i="4"/>
  <c r="F42" i="4"/>
  <c r="D42" i="4" s="1"/>
  <c r="C42" i="4"/>
  <c r="F41" i="4"/>
  <c r="D41" i="4" s="1"/>
  <c r="C41" i="4"/>
  <c r="F40" i="4"/>
  <c r="D40" i="4"/>
  <c r="C40" i="4"/>
  <c r="F39" i="4"/>
  <c r="D39" i="4" s="1"/>
  <c r="C39" i="4"/>
  <c r="F38" i="4"/>
  <c r="D38" i="4" s="1"/>
  <c r="C38" i="4"/>
  <c r="F37" i="4"/>
  <c r="D37" i="4" s="1"/>
  <c r="C37" i="4"/>
  <c r="F36" i="4"/>
  <c r="D36" i="4" s="1"/>
  <c r="C36" i="4"/>
  <c r="C35" i="4"/>
  <c r="F34" i="4"/>
  <c r="D34" i="4"/>
  <c r="C34" i="4"/>
  <c r="C33" i="4"/>
  <c r="C30" i="4"/>
  <c r="C29" i="4"/>
  <c r="C28" i="4"/>
  <c r="C27" i="4"/>
  <c r="U26" i="4"/>
  <c r="T26" i="4"/>
  <c r="T28" i="4" s="1"/>
  <c r="T29" i="4" s="1"/>
  <c r="T30" i="4" s="1"/>
  <c r="S26" i="4"/>
  <c r="S28" i="4" s="1"/>
  <c r="S29" i="4" s="1"/>
  <c r="S30" i="4" s="1"/>
  <c r="R26" i="4"/>
  <c r="Q26" i="4"/>
  <c r="Q28" i="4" s="1"/>
  <c r="Q29" i="4" s="1"/>
  <c r="Q30" i="4" s="1"/>
  <c r="P26" i="4"/>
  <c r="P28" i="4" s="1"/>
  <c r="P29" i="4" s="1"/>
  <c r="P30" i="4" s="1"/>
  <c r="O26" i="4"/>
  <c r="N26" i="4"/>
  <c r="N28" i="4" s="1"/>
  <c r="N29" i="4" s="1"/>
  <c r="N30" i="4" s="1"/>
  <c r="M26" i="4"/>
  <c r="L26" i="4"/>
  <c r="L28" i="4" s="1"/>
  <c r="L29" i="4" s="1"/>
  <c r="L30" i="4" s="1"/>
  <c r="K26" i="4"/>
  <c r="K28" i="4" s="1"/>
  <c r="K29" i="4" s="1"/>
  <c r="K30" i="4" s="1"/>
  <c r="J26" i="4"/>
  <c r="I26" i="4"/>
  <c r="I28" i="4" s="1"/>
  <c r="I29" i="4" s="1"/>
  <c r="I30" i="4" s="1"/>
  <c r="H26" i="4"/>
  <c r="H28" i="4" s="1"/>
  <c r="H29" i="4" s="1"/>
  <c r="H30" i="4" s="1"/>
  <c r="G26" i="4"/>
  <c r="C26" i="4"/>
  <c r="C25" i="4"/>
  <c r="C24" i="4"/>
  <c r="C23" i="4"/>
  <c r="C22" i="4"/>
  <c r="C21" i="4"/>
  <c r="C20" i="4"/>
  <c r="C19" i="4"/>
  <c r="C18" i="4"/>
  <c r="C17" i="4"/>
  <c r="C15" i="4"/>
  <c r="C14" i="4"/>
  <c r="C13" i="4"/>
  <c r="F12" i="4"/>
  <c r="C12" i="4"/>
  <c r="U11" i="4"/>
  <c r="U13" i="4" s="1"/>
  <c r="U14" i="4" s="1"/>
  <c r="U15" i="4" s="1"/>
  <c r="T11" i="4"/>
  <c r="T13" i="4" s="1"/>
  <c r="T14" i="4" s="1"/>
  <c r="T15" i="4" s="1"/>
  <c r="S11" i="4"/>
  <c r="S13" i="4" s="1"/>
  <c r="S14" i="4" s="1"/>
  <c r="S15" i="4" s="1"/>
  <c r="R11" i="4"/>
  <c r="R13" i="4" s="1"/>
  <c r="R14" i="4" s="1"/>
  <c r="R15" i="4" s="1"/>
  <c r="Q11" i="4"/>
  <c r="Q13" i="4" s="1"/>
  <c r="Q14" i="4" s="1"/>
  <c r="Q15" i="4" s="1"/>
  <c r="P11" i="4"/>
  <c r="P13" i="4" s="1"/>
  <c r="P14" i="4" s="1"/>
  <c r="P15" i="4" s="1"/>
  <c r="O11" i="4"/>
  <c r="O13" i="4" s="1"/>
  <c r="O14" i="4" s="1"/>
  <c r="O15" i="4" s="1"/>
  <c r="N11" i="4"/>
  <c r="M11" i="4"/>
  <c r="M13" i="4" s="1"/>
  <c r="M14" i="4" s="1"/>
  <c r="M15" i="4" s="1"/>
  <c r="L11" i="4"/>
  <c r="L13" i="4" s="1"/>
  <c r="L14" i="4" s="1"/>
  <c r="L15" i="4" s="1"/>
  <c r="K11" i="4"/>
  <c r="J11" i="4"/>
  <c r="I11" i="4"/>
  <c r="H11" i="4"/>
  <c r="F8" i="17" s="1"/>
  <c r="F12" i="19" s="1"/>
  <c r="G11" i="4"/>
  <c r="C11" i="4"/>
  <c r="F10" i="4"/>
  <c r="C10" i="4"/>
  <c r="F9" i="4"/>
  <c r="C9" i="4"/>
  <c r="F8" i="4"/>
  <c r="C8" i="4"/>
  <c r="F7" i="4"/>
  <c r="C7" i="4"/>
  <c r="F6" i="4"/>
  <c r="C6" i="4"/>
  <c r="F5" i="4"/>
  <c r="C5" i="4"/>
  <c r="C4" i="4"/>
  <c r="G3" i="4"/>
  <c r="E2" i="56" s="1"/>
  <c r="F3" i="4"/>
  <c r="C3" i="4"/>
  <c r="G2" i="4"/>
  <c r="C2" i="4"/>
  <c r="C74" i="46"/>
  <c r="C71" i="46"/>
  <c r="C68" i="46"/>
  <c r="L67" i="46"/>
  <c r="M67" i="46" s="1"/>
  <c r="N67" i="46" s="1"/>
  <c r="C66" i="46"/>
  <c r="C65" i="46"/>
  <c r="C63" i="46"/>
  <c r="C59" i="46"/>
  <c r="C57" i="46"/>
  <c r="C56" i="46"/>
  <c r="C54" i="46"/>
  <c r="C50" i="46"/>
  <c r="L49" i="46"/>
  <c r="M49" i="46" s="1"/>
  <c r="N49" i="46" s="1"/>
  <c r="C48" i="46"/>
  <c r="C47" i="46"/>
  <c r="C45" i="46"/>
  <c r="C43" i="46"/>
  <c r="L42" i="46"/>
  <c r="M42" i="46" s="1"/>
  <c r="N42" i="46" s="1"/>
  <c r="C41" i="46"/>
  <c r="C40" i="46"/>
  <c r="C38" i="46"/>
  <c r="B31" i="46"/>
  <c r="B26" i="46"/>
  <c r="C25" i="46"/>
  <c r="K21" i="46"/>
  <c r="J21" i="46"/>
  <c r="M20" i="46"/>
  <c r="F20" i="46"/>
  <c r="M18" i="46"/>
  <c r="I18" i="46"/>
  <c r="F18" i="46"/>
  <c r="C18" i="46"/>
  <c r="C16" i="46"/>
  <c r="C14" i="46"/>
  <c r="N10" i="46"/>
  <c r="L10" i="46"/>
  <c r="C4" i="46"/>
  <c r="C3" i="46"/>
  <c r="D92" i="53" l="1"/>
  <c r="L53" i="60"/>
  <c r="L52" i="60"/>
  <c r="I31" i="60"/>
  <c r="H41" i="60"/>
  <c r="I57" i="47"/>
  <c r="I61" i="47" s="1"/>
  <c r="M52" i="60"/>
  <c r="O20" i="60"/>
  <c r="O54" i="60" s="1"/>
  <c r="J31" i="60"/>
  <c r="I41" i="60"/>
  <c r="I54" i="60" s="1"/>
  <c r="R25" i="63"/>
  <c r="R33" i="63"/>
  <c r="M8" i="18"/>
  <c r="P25" i="63"/>
  <c r="G46" i="60"/>
  <c r="K31" i="60"/>
  <c r="S25" i="63"/>
  <c r="D5" i="60"/>
  <c r="E10" i="60"/>
  <c r="M31" i="60"/>
  <c r="L41" i="60"/>
  <c r="D22" i="63"/>
  <c r="D24" i="63"/>
  <c r="E33" i="63"/>
  <c r="O42" i="47"/>
  <c r="O46" i="47" s="1"/>
  <c r="Q20" i="60"/>
  <c r="Q54" i="60" s="1"/>
  <c r="K46" i="60"/>
  <c r="E20" i="60"/>
  <c r="E54" i="60" s="1"/>
  <c r="F36" i="58" s="1"/>
  <c r="G33" i="63"/>
  <c r="S33" i="63"/>
  <c r="L57" i="47"/>
  <c r="L61" i="47" s="1"/>
  <c r="L46" i="60"/>
  <c r="H47" i="60"/>
  <c r="D7" i="22"/>
  <c r="D47" i="22" s="1"/>
  <c r="D36" i="22"/>
  <c r="M37" i="22"/>
  <c r="D6" i="60"/>
  <c r="M46" i="60"/>
  <c r="M20" i="60"/>
  <c r="M54" i="60" s="1"/>
  <c r="Q31" i="60"/>
  <c r="P41" i="60"/>
  <c r="D35" i="22"/>
  <c r="P37" i="22"/>
  <c r="D23" i="63"/>
  <c r="S42" i="47"/>
  <c r="N46" i="60"/>
  <c r="G54" i="60"/>
  <c r="Q41" i="60"/>
  <c r="D31" i="60" s="1"/>
  <c r="D58" i="60" s="1"/>
  <c r="D34" i="22"/>
  <c r="J25" i="63"/>
  <c r="D25" i="63" s="1"/>
  <c r="D36" i="63" s="1"/>
  <c r="J33" i="63"/>
  <c r="D21" i="48"/>
  <c r="E8" i="18"/>
  <c r="O46" i="60"/>
  <c r="K47" i="60"/>
  <c r="F20" i="60"/>
  <c r="F54" i="60" s="1"/>
  <c r="H53" i="60"/>
  <c r="S31" i="60"/>
  <c r="R41" i="60"/>
  <c r="K33" i="63"/>
  <c r="N54" i="60"/>
  <c r="L31" i="60"/>
  <c r="P46" i="60"/>
  <c r="L47" i="60"/>
  <c r="G52" i="60"/>
  <c r="D27" i="60"/>
  <c r="E41" i="60"/>
  <c r="F46" i="47"/>
  <c r="G21" i="19"/>
  <c r="O52" i="60"/>
  <c r="D8" i="63"/>
  <c r="H15" i="58"/>
  <c r="D15" i="58" s="1"/>
  <c r="Q46" i="60"/>
  <c r="J53" i="60"/>
  <c r="E31" i="60"/>
  <c r="M33" i="63"/>
  <c r="G46" i="47"/>
  <c r="O21" i="19"/>
  <c r="E5" i="25"/>
  <c r="E5" i="18" s="1"/>
  <c r="H46" i="60"/>
  <c r="N47" i="60"/>
  <c r="M44" i="22"/>
  <c r="I8" i="18"/>
  <c r="H11" i="47"/>
  <c r="D55" i="53"/>
  <c r="D54" i="53"/>
  <c r="D57" i="53"/>
  <c r="D58" i="53"/>
  <c r="D117" i="53"/>
  <c r="D59" i="24"/>
  <c r="C137" i="55"/>
  <c r="C42" i="55"/>
  <c r="C50" i="55" s="1"/>
  <c r="C138" i="55"/>
  <c r="C43" i="55"/>
  <c r="C51" i="55" s="1"/>
  <c r="C116" i="55"/>
  <c r="C40" i="55"/>
  <c r="C48" i="55" s="1"/>
  <c r="C117" i="55"/>
  <c r="C41" i="55"/>
  <c r="C49" i="55" s="1"/>
  <c r="M48" i="60"/>
  <c r="J54" i="60"/>
  <c r="R54" i="60"/>
  <c r="R48" i="60"/>
  <c r="H54" i="60"/>
  <c r="P54" i="60"/>
  <c r="J48" i="60"/>
  <c r="H52" i="60"/>
  <c r="J8" i="17"/>
  <c r="K17" i="58"/>
  <c r="R8" i="17"/>
  <c r="S17" i="58"/>
  <c r="H21" i="17"/>
  <c r="I39" i="58"/>
  <c r="P21" i="17"/>
  <c r="Q39" i="58"/>
  <c r="H10" i="60"/>
  <c r="H48" i="60" s="1"/>
  <c r="P10" i="60"/>
  <c r="P48" i="60" s="1"/>
  <c r="K20" i="60"/>
  <c r="K54" i="60" s="1"/>
  <c r="S20" i="60"/>
  <c r="S54" i="60" s="1"/>
  <c r="F52" i="60"/>
  <c r="N52" i="60"/>
  <c r="G53" i="60"/>
  <c r="O53" i="60"/>
  <c r="K37" i="22"/>
  <c r="S37" i="22"/>
  <c r="H15" i="47"/>
  <c r="P15" i="47"/>
  <c r="O20" i="18"/>
  <c r="O23" i="19"/>
  <c r="D40" i="47"/>
  <c r="J57" i="47"/>
  <c r="J61" i="47" s="1"/>
  <c r="R57" i="47"/>
  <c r="R61" i="47" s="1"/>
  <c r="E21" i="19"/>
  <c r="M21" i="19"/>
  <c r="Q47" i="60"/>
  <c r="P52" i="60"/>
  <c r="Q26" i="47"/>
  <c r="Q30" i="47" s="1"/>
  <c r="Q23" i="19"/>
  <c r="K8" i="17"/>
  <c r="L17" i="58"/>
  <c r="S8" i="17"/>
  <c r="T17" i="58"/>
  <c r="I21" i="17"/>
  <c r="J39" i="58"/>
  <c r="Q21" i="17"/>
  <c r="R39" i="58"/>
  <c r="J28" i="4"/>
  <c r="J29" i="4" s="1"/>
  <c r="J30" i="4" s="1"/>
  <c r="R28" i="4"/>
  <c r="R29" i="4" s="1"/>
  <c r="R30" i="4" s="1"/>
  <c r="D129" i="55"/>
  <c r="I10" i="60"/>
  <c r="I48" i="60" s="1"/>
  <c r="Q10" i="60"/>
  <c r="L20" i="60"/>
  <c r="L54" i="60" s="1"/>
  <c r="I46" i="60"/>
  <c r="L37" i="22"/>
  <c r="H44" i="22"/>
  <c r="P44" i="22"/>
  <c r="H21" i="58"/>
  <c r="F56" i="53"/>
  <c r="J11" i="47"/>
  <c r="J15" i="47" s="1"/>
  <c r="R11" i="47"/>
  <c r="R15" i="47" s="1"/>
  <c r="I11" i="47"/>
  <c r="I15" i="47" s="1"/>
  <c r="Q11" i="47"/>
  <c r="Q15" i="47" s="1"/>
  <c r="P26" i="47"/>
  <c r="P30" i="47" s="1"/>
  <c r="P23" i="19"/>
  <c r="F21" i="19"/>
  <c r="N21" i="19"/>
  <c r="I47" i="60"/>
  <c r="F11" i="4"/>
  <c r="E8" i="17"/>
  <c r="E12" i="19" s="1"/>
  <c r="M8" i="17"/>
  <c r="N17" i="58"/>
  <c r="K21" i="17"/>
  <c r="L39" i="58"/>
  <c r="S21" i="17"/>
  <c r="T39" i="58"/>
  <c r="D9" i="60"/>
  <c r="K10" i="60"/>
  <c r="S10" i="60"/>
  <c r="S48" i="60" s="1"/>
  <c r="D26" i="60"/>
  <c r="I52" i="60"/>
  <c r="Q52" i="60"/>
  <c r="F37" i="22"/>
  <c r="F4" i="17" s="1"/>
  <c r="F5" i="17" s="1"/>
  <c r="N37" i="22"/>
  <c r="J44" i="22"/>
  <c r="R44" i="22"/>
  <c r="D21" i="63"/>
  <c r="L8" i="18"/>
  <c r="J20" i="18"/>
  <c r="J23" i="19"/>
  <c r="R20" i="18"/>
  <c r="R23" i="19"/>
  <c r="I42" i="47"/>
  <c r="I46" i="47" s="1"/>
  <c r="Q42" i="47"/>
  <c r="Q46" i="47" s="1"/>
  <c r="H42" i="47"/>
  <c r="H46" i="47" s="1"/>
  <c r="P42" i="47"/>
  <c r="P46" i="47" s="1"/>
  <c r="E57" i="47"/>
  <c r="E61" i="47" s="1"/>
  <c r="M57" i="47"/>
  <c r="M61" i="47" s="1"/>
  <c r="F4" i="19"/>
  <c r="N8" i="17"/>
  <c r="O17" i="58"/>
  <c r="L21" i="17"/>
  <c r="M39" i="58"/>
  <c r="M28" i="4"/>
  <c r="M29" i="4" s="1"/>
  <c r="M30" i="4" s="1"/>
  <c r="U28" i="4"/>
  <c r="U29" i="4" s="1"/>
  <c r="U30" i="4" s="1"/>
  <c r="D45" i="4"/>
  <c r="D46" i="4" s="1"/>
  <c r="L10" i="60"/>
  <c r="J52" i="60"/>
  <c r="R52" i="60"/>
  <c r="G37" i="22"/>
  <c r="O37" i="22"/>
  <c r="K44" i="22"/>
  <c r="S44" i="22"/>
  <c r="K20" i="18"/>
  <c r="K23" i="19"/>
  <c r="K26" i="47"/>
  <c r="K30" i="47" s="1"/>
  <c r="D45" i="47"/>
  <c r="R21" i="17"/>
  <c r="S39" i="58"/>
  <c r="H17" i="58"/>
  <c r="G8" i="17"/>
  <c r="G12" i="19" s="1"/>
  <c r="O8" i="17"/>
  <c r="P17" i="58"/>
  <c r="E21" i="17"/>
  <c r="F39" i="58"/>
  <c r="M21" i="17"/>
  <c r="N39" i="58"/>
  <c r="D30" i="60"/>
  <c r="L44" i="22"/>
  <c r="F5" i="58"/>
  <c r="L26" i="47"/>
  <c r="L30" i="47" s="1"/>
  <c r="L23" i="19"/>
  <c r="S26" i="47"/>
  <c r="S30" i="47" s="1"/>
  <c r="K46" i="47"/>
  <c r="S46" i="47"/>
  <c r="G57" i="47"/>
  <c r="G61" i="47" s="1"/>
  <c r="O57" i="47"/>
  <c r="O61" i="47" s="1"/>
  <c r="H57" i="47"/>
  <c r="H61" i="47" s="1"/>
  <c r="P57" i="47"/>
  <c r="P61" i="47" s="1"/>
  <c r="J21" i="17"/>
  <c r="K39" i="58"/>
  <c r="I26" i="47"/>
  <c r="I30" i="47" s="1"/>
  <c r="I23" i="19"/>
  <c r="I17" i="58"/>
  <c r="H8" i="17"/>
  <c r="H12" i="19" s="1"/>
  <c r="P8" i="17"/>
  <c r="Q17" i="58"/>
  <c r="F21" i="17"/>
  <c r="G39" i="58"/>
  <c r="N21" i="17"/>
  <c r="O39" i="58"/>
  <c r="G28" i="4"/>
  <c r="G29" i="4" s="1"/>
  <c r="G30" i="4" s="1"/>
  <c r="O28" i="4"/>
  <c r="O29" i="4" s="1"/>
  <c r="O30" i="4" s="1"/>
  <c r="D59" i="53"/>
  <c r="F10" i="60"/>
  <c r="F48" i="60" s="1"/>
  <c r="N10" i="60"/>
  <c r="N48" i="60" s="1"/>
  <c r="I37" i="22"/>
  <c r="Q37" i="22"/>
  <c r="E26" i="47"/>
  <c r="E30" i="47" s="1"/>
  <c r="M26" i="47"/>
  <c r="M30" i="47" s="1"/>
  <c r="M23" i="19"/>
  <c r="L42" i="47"/>
  <c r="L46" i="47" s="1"/>
  <c r="L8" i="17"/>
  <c r="M17" i="58"/>
  <c r="J17" i="58"/>
  <c r="I8" i="17"/>
  <c r="I12" i="19" s="1"/>
  <c r="Q8" i="17"/>
  <c r="R17" i="58"/>
  <c r="N13" i="4"/>
  <c r="N14" i="4" s="1"/>
  <c r="N15" i="4" s="1"/>
  <c r="G21" i="17"/>
  <c r="H39" i="58"/>
  <c r="O21" i="17"/>
  <c r="P39" i="58"/>
  <c r="F45" i="4"/>
  <c r="G10" i="60"/>
  <c r="G48" i="60" s="1"/>
  <c r="O10" i="60"/>
  <c r="O48" i="60" s="1"/>
  <c r="J37" i="22"/>
  <c r="R37" i="22"/>
  <c r="D14" i="47"/>
  <c r="N20" i="18"/>
  <c r="N23" i="19"/>
  <c r="D37" i="47"/>
  <c r="M46" i="47"/>
  <c r="C11" i="63"/>
  <c r="C20" i="63"/>
  <c r="C28" i="63" s="1"/>
  <c r="E38" i="6"/>
  <c r="E39" i="6" s="1"/>
  <c r="D43" i="6" s="1"/>
  <c r="D45" i="6" s="1"/>
  <c r="D9" i="47"/>
  <c r="L11" i="47"/>
  <c r="L15" i="47" s="1"/>
  <c r="F26" i="47"/>
  <c r="F30" i="47" s="1"/>
  <c r="N26" i="47"/>
  <c r="N30" i="47" s="1"/>
  <c r="I6" i="19"/>
  <c r="Q6" i="19"/>
  <c r="F8" i="18"/>
  <c r="N8" i="18"/>
  <c r="H20" i="18"/>
  <c r="P20" i="18"/>
  <c r="E11" i="47"/>
  <c r="M11" i="47"/>
  <c r="M15" i="47" s="1"/>
  <c r="G26" i="47"/>
  <c r="G30" i="47" s="1"/>
  <c r="O26" i="47"/>
  <c r="O30" i="47" s="1"/>
  <c r="J6" i="19"/>
  <c r="R6" i="19"/>
  <c r="E23" i="19"/>
  <c r="G8" i="18"/>
  <c r="O8" i="18"/>
  <c r="I20" i="18"/>
  <c r="Q20" i="18"/>
  <c r="F11" i="47"/>
  <c r="F15" i="47" s="1"/>
  <c r="N11" i="47"/>
  <c r="N15" i="47" s="1"/>
  <c r="H26" i="47"/>
  <c r="H30" i="47" s="1"/>
  <c r="E42" i="47"/>
  <c r="K6" i="19"/>
  <c r="S6" i="19"/>
  <c r="F23" i="19"/>
  <c r="H8" i="18"/>
  <c r="P8" i="18"/>
  <c r="G11" i="47"/>
  <c r="G15" i="47" s="1"/>
  <c r="O11" i="47"/>
  <c r="O15" i="47" s="1"/>
  <c r="L6" i="19"/>
  <c r="G23" i="19"/>
  <c r="S20" i="18"/>
  <c r="E6" i="19"/>
  <c r="M6" i="19"/>
  <c r="J8" i="18"/>
  <c r="R8" i="18"/>
  <c r="L20" i="18"/>
  <c r="K8" i="18"/>
  <c r="S8" i="18"/>
  <c r="E20" i="18"/>
  <c r="M20" i="18"/>
  <c r="D6" i="47"/>
  <c r="C56" i="53"/>
  <c r="C68" i="53" s="1"/>
  <c r="C57" i="53"/>
  <c r="C69" i="53" s="1"/>
  <c r="F17" i="58"/>
  <c r="G17" i="58"/>
  <c r="G13" i="4"/>
  <c r="H13" i="4"/>
  <c r="I13" i="4"/>
  <c r="J13" i="4"/>
  <c r="F4" i="25"/>
  <c r="K13" i="4"/>
  <c r="F7" i="58"/>
  <c r="F11" i="58"/>
  <c r="D64" i="24"/>
  <c r="D19" i="48"/>
  <c r="D58" i="24"/>
  <c r="D62" i="24"/>
  <c r="D63" i="24"/>
  <c r="F6" i="58"/>
  <c r="E32" i="22"/>
  <c r="F32" i="22" s="1"/>
  <c r="G32" i="22" s="1"/>
  <c r="H32" i="22" s="1"/>
  <c r="I32" i="22" s="1"/>
  <c r="J32" i="22" s="1"/>
  <c r="K32" i="22" s="1"/>
  <c r="L32" i="22" s="1"/>
  <c r="M32" i="22" s="1"/>
  <c r="N32" i="22" s="1"/>
  <c r="O32" i="22" s="1"/>
  <c r="P32" i="22" s="1"/>
  <c r="Q32" i="22" s="1"/>
  <c r="R32" i="22" s="1"/>
  <c r="S32" i="22" s="1"/>
  <c r="E39" i="22" s="1"/>
  <c r="F39" i="22" s="1"/>
  <c r="G39" i="22" s="1"/>
  <c r="H39" i="22" s="1"/>
  <c r="I39" i="22" s="1"/>
  <c r="J39" i="22" s="1"/>
  <c r="K39" i="22" s="1"/>
  <c r="L39" i="22" s="1"/>
  <c r="M39" i="22" s="1"/>
  <c r="N39" i="22" s="1"/>
  <c r="O39" i="22" s="1"/>
  <c r="P39" i="22" s="1"/>
  <c r="Q39" i="22" s="1"/>
  <c r="R39" i="22" s="1"/>
  <c r="S39" i="22" s="1"/>
  <c r="E32" i="48"/>
  <c r="F32" i="48" s="1"/>
  <c r="G32" i="48" s="1"/>
  <c r="F2" i="17"/>
  <c r="F7" i="17" s="1"/>
  <c r="F18" i="58"/>
  <c r="F8" i="58"/>
  <c r="E521" i="56"/>
  <c r="F521" i="56" s="1"/>
  <c r="E140" i="56"/>
  <c r="F140" i="56" s="1"/>
  <c r="F2" i="22"/>
  <c r="G2" i="22" s="1"/>
  <c r="H2" i="22" s="1"/>
  <c r="I2" i="22" s="1"/>
  <c r="J2" i="22" s="1"/>
  <c r="K2" i="22" s="1"/>
  <c r="L2" i="22" s="1"/>
  <c r="M2" i="22" s="1"/>
  <c r="N2" i="22" s="1"/>
  <c r="O2" i="22" s="1"/>
  <c r="P2" i="22" s="1"/>
  <c r="Q2" i="22" s="1"/>
  <c r="R2" i="22" s="1"/>
  <c r="S2" i="22" s="1"/>
  <c r="E9" i="22" s="1"/>
  <c r="F9" i="22" s="1"/>
  <c r="G9" i="22" s="1"/>
  <c r="H9" i="22" s="1"/>
  <c r="I9" i="22" s="1"/>
  <c r="J9" i="22" s="1"/>
  <c r="K9" i="22" s="1"/>
  <c r="L9" i="22" s="1"/>
  <c r="M9" i="22" s="1"/>
  <c r="N9" i="22" s="1"/>
  <c r="O9" i="22" s="1"/>
  <c r="P9" i="22" s="1"/>
  <c r="Q9" i="22" s="1"/>
  <c r="R9" i="22" s="1"/>
  <c r="S9" i="22" s="1"/>
  <c r="F10" i="58"/>
  <c r="E17" i="22"/>
  <c r="F17" i="22" s="1"/>
  <c r="G17" i="22" s="1"/>
  <c r="H17" i="22" s="1"/>
  <c r="I17" i="22" s="1"/>
  <c r="J17" i="22" s="1"/>
  <c r="K17" i="22" s="1"/>
  <c r="L17" i="22" s="1"/>
  <c r="M17" i="22" s="1"/>
  <c r="N17" i="22" s="1"/>
  <c r="O17" i="22" s="1"/>
  <c r="P17" i="22" s="1"/>
  <c r="Q17" i="22" s="1"/>
  <c r="R17" i="22" s="1"/>
  <c r="S17" i="22" s="1"/>
  <c r="E24" i="22" s="1"/>
  <c r="F24" i="22" s="1"/>
  <c r="G24" i="22" s="1"/>
  <c r="H24" i="22" s="1"/>
  <c r="I24" i="22" s="1"/>
  <c r="J24" i="22" s="1"/>
  <c r="K24" i="22" s="1"/>
  <c r="L24" i="22" s="1"/>
  <c r="M24" i="22" s="1"/>
  <c r="N24" i="22" s="1"/>
  <c r="O24" i="22" s="1"/>
  <c r="P24" i="22" s="1"/>
  <c r="Q24" i="22" s="1"/>
  <c r="R24" i="22" s="1"/>
  <c r="S24" i="22" s="1"/>
  <c r="G2" i="58"/>
  <c r="F2" i="48"/>
  <c r="G2" i="48" s="1"/>
  <c r="H2" i="48" s="1"/>
  <c r="I2" i="48" s="1"/>
  <c r="J2" i="48" s="1"/>
  <c r="K2" i="48" s="1"/>
  <c r="L2" i="48" s="1"/>
  <c r="M2" i="48" s="1"/>
  <c r="N2" i="48" s="1"/>
  <c r="O2" i="48" s="1"/>
  <c r="P2" i="48" s="1"/>
  <c r="Q2" i="48" s="1"/>
  <c r="R2" i="48" s="1"/>
  <c r="S2" i="48" s="1"/>
  <c r="E9" i="48" s="1"/>
  <c r="F9" i="48" s="1"/>
  <c r="G9" i="48" s="1"/>
  <c r="H9" i="48" s="1"/>
  <c r="I9" i="48" s="1"/>
  <c r="J9" i="48" s="1"/>
  <c r="K9" i="48" s="1"/>
  <c r="L9" i="48" s="1"/>
  <c r="M9" i="48" s="1"/>
  <c r="N9" i="48" s="1"/>
  <c r="O9" i="48" s="1"/>
  <c r="P9" i="48" s="1"/>
  <c r="Q9" i="48" s="1"/>
  <c r="R9" i="48" s="1"/>
  <c r="S9" i="48" s="1"/>
  <c r="E33" i="47"/>
  <c r="F33" i="47" s="1"/>
  <c r="G33" i="47" s="1"/>
  <c r="H33" i="47" s="1"/>
  <c r="I33" i="47" s="1"/>
  <c r="J33" i="47" s="1"/>
  <c r="K33" i="47" s="1"/>
  <c r="L33" i="47" s="1"/>
  <c r="M33" i="47" s="1"/>
  <c r="N33" i="47" s="1"/>
  <c r="O33" i="47" s="1"/>
  <c r="P33" i="47" s="1"/>
  <c r="Q33" i="47" s="1"/>
  <c r="R33" i="47" s="1"/>
  <c r="S33" i="47" s="1"/>
  <c r="K92" i="55"/>
  <c r="M92" i="55"/>
  <c r="D59" i="55"/>
  <c r="D44" i="55"/>
  <c r="D75" i="55" s="1"/>
  <c r="N92" i="55"/>
  <c r="L92" i="55"/>
  <c r="D108" i="55"/>
  <c r="D27" i="55"/>
  <c r="D74" i="55" s="1"/>
  <c r="F60" i="55"/>
  <c r="D60" i="55" s="1"/>
  <c r="F9" i="25"/>
  <c r="G9" i="25" s="1"/>
  <c r="H9" i="25" s="1"/>
  <c r="I9" i="25" s="1"/>
  <c r="J9" i="25" s="1"/>
  <c r="K9" i="25" s="1"/>
  <c r="L9" i="25" s="1"/>
  <c r="M9" i="25" s="1"/>
  <c r="N9" i="25" s="1"/>
  <c r="O9" i="25" s="1"/>
  <c r="P9" i="25" s="1"/>
  <c r="Q9" i="25" s="1"/>
  <c r="R9" i="25" s="1"/>
  <c r="S9" i="25" s="1"/>
  <c r="E19" i="25" s="1"/>
  <c r="F19" i="25" s="1"/>
  <c r="G19" i="25" s="1"/>
  <c r="H19" i="25" s="1"/>
  <c r="I19" i="25" s="1"/>
  <c r="J19" i="25" s="1"/>
  <c r="K19" i="25" s="1"/>
  <c r="L19" i="25" s="1"/>
  <c r="M19" i="25" s="1"/>
  <c r="N19" i="25" s="1"/>
  <c r="O19" i="25" s="1"/>
  <c r="P19" i="25" s="1"/>
  <c r="Q19" i="25" s="1"/>
  <c r="R19" i="25" s="1"/>
  <c r="S19" i="25" s="1"/>
  <c r="E2" i="53"/>
  <c r="E27" i="53" s="1"/>
  <c r="F27" i="53" s="1"/>
  <c r="G27" i="53" s="1"/>
  <c r="H27" i="53" s="1"/>
  <c r="I27" i="53" s="1"/>
  <c r="J27" i="53" s="1"/>
  <c r="K27" i="53" s="1"/>
  <c r="L27" i="53" s="1"/>
  <c r="M27" i="53" s="1"/>
  <c r="N27" i="53" s="1"/>
  <c r="O27" i="53" s="1"/>
  <c r="P27" i="53" s="1"/>
  <c r="Q27" i="53" s="1"/>
  <c r="R27" i="53" s="1"/>
  <c r="S27" i="53" s="1"/>
  <c r="E39" i="53" s="1"/>
  <c r="F39" i="53" s="1"/>
  <c r="G39" i="53" s="1"/>
  <c r="H39" i="53" s="1"/>
  <c r="I39" i="53" s="1"/>
  <c r="J39" i="53" s="1"/>
  <c r="K39" i="53" s="1"/>
  <c r="L39" i="53" s="1"/>
  <c r="M39" i="53" s="1"/>
  <c r="N39" i="53" s="1"/>
  <c r="O39" i="53" s="1"/>
  <c r="P39" i="53" s="1"/>
  <c r="Q39" i="53" s="1"/>
  <c r="R39" i="53" s="1"/>
  <c r="S39" i="53" s="1"/>
  <c r="C94" i="53"/>
  <c r="C39" i="22"/>
  <c r="C336" i="56"/>
  <c r="C346" i="56" s="1"/>
  <c r="C357" i="56" s="1"/>
  <c r="C367" i="56" s="1"/>
  <c r="C378" i="56" s="1"/>
  <c r="C388" i="56" s="1"/>
  <c r="C399" i="56" s="1"/>
  <c r="C409" i="56" s="1"/>
  <c r="C420" i="56" s="1"/>
  <c r="C430" i="56" s="1"/>
  <c r="C441" i="56" s="1"/>
  <c r="C451" i="56" s="1"/>
  <c r="C462" i="56" s="1"/>
  <c r="C472" i="56" s="1"/>
  <c r="C483" i="56" s="1"/>
  <c r="C493" i="56" s="1"/>
  <c r="C504" i="56" s="1"/>
  <c r="C514" i="56" s="1"/>
  <c r="E2" i="55"/>
  <c r="C328" i="56"/>
  <c r="H3" i="4"/>
  <c r="I3" i="4" s="1"/>
  <c r="J3" i="4" s="1"/>
  <c r="K3" i="4" s="1"/>
  <c r="L3" i="4" s="1"/>
  <c r="M3" i="4" s="1"/>
  <c r="N3" i="4" s="1"/>
  <c r="O3" i="4" s="1"/>
  <c r="P3" i="4" s="1"/>
  <c r="Q3" i="4" s="1"/>
  <c r="R3" i="4" s="1"/>
  <c r="S3" i="4" s="1"/>
  <c r="T3" i="4" s="1"/>
  <c r="U3" i="4" s="1"/>
  <c r="G18" i="4" s="1"/>
  <c r="H18" i="4" s="1"/>
  <c r="I18" i="4" s="1"/>
  <c r="J18" i="4" s="1"/>
  <c r="K18" i="4" s="1"/>
  <c r="L18" i="4" s="1"/>
  <c r="M18" i="4" s="1"/>
  <c r="N18" i="4" s="1"/>
  <c r="O18" i="4" s="1"/>
  <c r="P18" i="4" s="1"/>
  <c r="Q18" i="4" s="1"/>
  <c r="R18" i="4" s="1"/>
  <c r="S18" i="4" s="1"/>
  <c r="T18" i="4" s="1"/>
  <c r="U18" i="4" s="1"/>
  <c r="C329" i="56"/>
  <c r="C334" i="56"/>
  <c r="C344" i="56" s="1"/>
  <c r="C355" i="56" s="1"/>
  <c r="C365" i="56" s="1"/>
  <c r="C376" i="56" s="1"/>
  <c r="C386" i="56" s="1"/>
  <c r="C397" i="56" s="1"/>
  <c r="C407" i="56" s="1"/>
  <c r="C418" i="56" s="1"/>
  <c r="C428" i="56" s="1"/>
  <c r="C439" i="56" s="1"/>
  <c r="C449" i="56" s="1"/>
  <c r="C460" i="56" s="1"/>
  <c r="C470" i="56" s="1"/>
  <c r="C481" i="56" s="1"/>
  <c r="C491" i="56" s="1"/>
  <c r="C502" i="56" s="1"/>
  <c r="C512" i="56" s="1"/>
  <c r="C104" i="53"/>
  <c r="D108" i="53"/>
  <c r="C117" i="53" s="1"/>
  <c r="C129" i="53" s="1"/>
  <c r="B135" i="55"/>
  <c r="C48" i="60"/>
  <c r="C54" i="60" s="1"/>
  <c r="D45" i="60"/>
  <c r="C108" i="53"/>
  <c r="C120" i="53" s="1"/>
  <c r="D25" i="17"/>
  <c r="C296" i="56"/>
  <c r="F46" i="4"/>
  <c r="I47" i="4"/>
  <c r="F47" i="4" s="1"/>
  <c r="G2" i="17"/>
  <c r="G7" i="17" s="1"/>
  <c r="F9" i="17"/>
  <c r="F4" i="18" s="1"/>
  <c r="D501" i="56"/>
  <c r="E47" i="4"/>
  <c r="G31" i="25" s="1"/>
  <c r="H31" i="25" s="1"/>
  <c r="C194" i="24"/>
  <c r="C176" i="24"/>
  <c r="C375" i="56"/>
  <c r="C385" i="56" s="1"/>
  <c r="C417" i="56" s="1"/>
  <c r="C427" i="56" s="1"/>
  <c r="C459" i="56" s="1"/>
  <c r="C469" i="56" s="1"/>
  <c r="C501" i="56" s="1"/>
  <c r="C511" i="56" s="1"/>
  <c r="C327" i="56"/>
  <c r="C338" i="56"/>
  <c r="C348" i="56" s="1"/>
  <c r="C359" i="56" s="1"/>
  <c r="C369" i="56" s="1"/>
  <c r="C380" i="56" s="1"/>
  <c r="C390" i="56" s="1"/>
  <c r="C401" i="56" s="1"/>
  <c r="C411" i="56" s="1"/>
  <c r="C422" i="56" s="1"/>
  <c r="C432" i="56" s="1"/>
  <c r="C443" i="56" s="1"/>
  <c r="C453" i="56" s="1"/>
  <c r="C464" i="56" s="1"/>
  <c r="C474" i="56" s="1"/>
  <c r="C485" i="56" s="1"/>
  <c r="C495" i="56" s="1"/>
  <c r="C506" i="56" s="1"/>
  <c r="C516" i="56" s="1"/>
  <c r="C335" i="56"/>
  <c r="C345" i="56" s="1"/>
  <c r="C356" i="56" s="1"/>
  <c r="C366" i="56" s="1"/>
  <c r="C377" i="56" s="1"/>
  <c r="C387" i="56" s="1"/>
  <c r="C398" i="56" s="1"/>
  <c r="C408" i="56" s="1"/>
  <c r="C419" i="56" s="1"/>
  <c r="C429" i="56" s="1"/>
  <c r="C440" i="56" s="1"/>
  <c r="C450" i="56" s="1"/>
  <c r="C461" i="56" s="1"/>
  <c r="C471" i="56" s="1"/>
  <c r="C482" i="56" s="1"/>
  <c r="C492" i="56" s="1"/>
  <c r="C503" i="56" s="1"/>
  <c r="C513" i="56" s="1"/>
  <c r="C324" i="56"/>
  <c r="E2" i="60"/>
  <c r="C25" i="63"/>
  <c r="E84" i="22"/>
  <c r="F84" i="22" s="1"/>
  <c r="G84" i="22" s="1"/>
  <c r="H84" i="22" s="1"/>
  <c r="I84" i="22" s="1"/>
  <c r="J84" i="22" s="1"/>
  <c r="K84" i="22" s="1"/>
  <c r="L84" i="22" s="1"/>
  <c r="M84" i="22" s="1"/>
  <c r="N84" i="22" s="1"/>
  <c r="O84" i="22" s="1"/>
  <c r="P84" i="22" s="1"/>
  <c r="Q84" i="22" s="1"/>
  <c r="R84" i="22" s="1"/>
  <c r="S84" i="22" s="1"/>
  <c r="E100" i="22" s="1"/>
  <c r="F100" i="22" s="1"/>
  <c r="G100" i="22" s="1"/>
  <c r="H100" i="22" s="1"/>
  <c r="I100" i="22" s="1"/>
  <c r="J100" i="22" s="1"/>
  <c r="K100" i="22" s="1"/>
  <c r="L100" i="22" s="1"/>
  <c r="M100" i="22" s="1"/>
  <c r="N100" i="22" s="1"/>
  <c r="O100" i="22" s="1"/>
  <c r="P100" i="22" s="1"/>
  <c r="Q100" i="22" s="1"/>
  <c r="R100" i="22" s="1"/>
  <c r="S100" i="22" s="1"/>
  <c r="F2" i="56"/>
  <c r="G2" i="56" s="1"/>
  <c r="H2" i="56" s="1"/>
  <c r="I2" i="56" s="1"/>
  <c r="J2" i="56" s="1"/>
  <c r="K2" i="56" s="1"/>
  <c r="L2" i="56" s="1"/>
  <c r="M2" i="56" s="1"/>
  <c r="N2" i="56" s="1"/>
  <c r="O2" i="56" s="1"/>
  <c r="P2" i="56" s="1"/>
  <c r="Q2" i="56" s="1"/>
  <c r="R2" i="56" s="1"/>
  <c r="S2" i="56" s="1"/>
  <c r="E36" i="56" s="1"/>
  <c r="F36" i="56" s="1"/>
  <c r="G36" i="56" s="1"/>
  <c r="H36" i="56" s="1"/>
  <c r="I36" i="56" s="1"/>
  <c r="J36" i="56" s="1"/>
  <c r="K36" i="56" s="1"/>
  <c r="L36" i="56" s="1"/>
  <c r="M36" i="56" s="1"/>
  <c r="N36" i="56" s="1"/>
  <c r="O36" i="56" s="1"/>
  <c r="P36" i="56" s="1"/>
  <c r="Q36" i="56" s="1"/>
  <c r="R36" i="56" s="1"/>
  <c r="S36" i="56" s="1"/>
  <c r="E249" i="56"/>
  <c r="G34" i="4"/>
  <c r="H34" i="4" s="1"/>
  <c r="I34" i="4" s="1"/>
  <c r="J34" i="4" s="1"/>
  <c r="K34" i="4" s="1"/>
  <c r="L34" i="4" s="1"/>
  <c r="M34" i="4" s="1"/>
  <c r="N34" i="4" s="1"/>
  <c r="O34" i="4" s="1"/>
  <c r="P34" i="4" s="1"/>
  <c r="Q34" i="4" s="1"/>
  <c r="R34" i="4" s="1"/>
  <c r="S34" i="4" s="1"/>
  <c r="T34" i="4" s="1"/>
  <c r="U34" i="4" s="1"/>
  <c r="G50" i="4" s="1"/>
  <c r="H50" i="4" s="1"/>
  <c r="I50" i="4" s="1"/>
  <c r="J50" i="4" s="1"/>
  <c r="K50" i="4" s="1"/>
  <c r="L50" i="4" s="1"/>
  <c r="M50" i="4" s="1"/>
  <c r="N50" i="4" s="1"/>
  <c r="O50" i="4" s="1"/>
  <c r="P50" i="4" s="1"/>
  <c r="Q50" i="4" s="1"/>
  <c r="R50" i="4" s="1"/>
  <c r="S50" i="4" s="1"/>
  <c r="T50" i="4" s="1"/>
  <c r="U50" i="4" s="1"/>
  <c r="E2" i="24"/>
  <c r="E71" i="56"/>
  <c r="F71" i="56" s="1"/>
  <c r="G71" i="56" s="1"/>
  <c r="H71" i="56" s="1"/>
  <c r="I71" i="56" s="1"/>
  <c r="J71" i="56" s="1"/>
  <c r="K71" i="56" s="1"/>
  <c r="L71" i="56" s="1"/>
  <c r="M71" i="56" s="1"/>
  <c r="N71" i="56" s="1"/>
  <c r="O71" i="56" s="1"/>
  <c r="P71" i="56" s="1"/>
  <c r="Q71" i="56" s="1"/>
  <c r="R71" i="56" s="1"/>
  <c r="S71" i="56" s="1"/>
  <c r="E105" i="56" s="1"/>
  <c r="F105" i="56" s="1"/>
  <c r="G105" i="56" s="1"/>
  <c r="H105" i="56" s="1"/>
  <c r="I105" i="56" s="1"/>
  <c r="J105" i="56" s="1"/>
  <c r="K105" i="56" s="1"/>
  <c r="L105" i="56" s="1"/>
  <c r="M105" i="56" s="1"/>
  <c r="N105" i="56" s="1"/>
  <c r="O105" i="56" s="1"/>
  <c r="P105" i="56" s="1"/>
  <c r="Q105" i="56" s="1"/>
  <c r="R105" i="56" s="1"/>
  <c r="S105" i="56" s="1"/>
  <c r="C326" i="56"/>
  <c r="C337" i="56"/>
  <c r="C347" i="56" s="1"/>
  <c r="C358" i="56" s="1"/>
  <c r="C368" i="56" s="1"/>
  <c r="C379" i="56" s="1"/>
  <c r="C389" i="56" s="1"/>
  <c r="C400" i="56" s="1"/>
  <c r="C410" i="56" s="1"/>
  <c r="C421" i="56" s="1"/>
  <c r="C431" i="56" s="1"/>
  <c r="C442" i="56" s="1"/>
  <c r="C452" i="56" s="1"/>
  <c r="C463" i="56" s="1"/>
  <c r="C473" i="56" s="1"/>
  <c r="C484" i="56" s="1"/>
  <c r="C494" i="56" s="1"/>
  <c r="C505" i="56" s="1"/>
  <c r="C515" i="56" s="1"/>
  <c r="C250" i="56"/>
  <c r="C265" i="56" s="1"/>
  <c r="C312" i="56" s="1"/>
  <c r="C37" i="56"/>
  <c r="C196" i="56"/>
  <c r="C219" i="56" s="1"/>
  <c r="D233" i="56" s="1"/>
  <c r="D206" i="56"/>
  <c r="C223" i="56" s="1"/>
  <c r="E2" i="63"/>
  <c r="E9" i="17"/>
  <c r="C20" i="60"/>
  <c r="C31" i="60" s="1"/>
  <c r="C41" i="60" s="1"/>
  <c r="E4" i="19"/>
  <c r="E37" i="22"/>
  <c r="D4" i="48"/>
  <c r="F17" i="47"/>
  <c r="G17" i="47" s="1"/>
  <c r="H17" i="47" s="1"/>
  <c r="I17" i="47" s="1"/>
  <c r="J17" i="47" s="1"/>
  <c r="K17" i="47" s="1"/>
  <c r="L17" i="47" s="1"/>
  <c r="M17" i="47" s="1"/>
  <c r="N17" i="47" s="1"/>
  <c r="O17" i="47" s="1"/>
  <c r="P17" i="47" s="1"/>
  <c r="Q17" i="47" s="1"/>
  <c r="R17" i="47" s="1"/>
  <c r="S17" i="47" s="1"/>
  <c r="E48" i="47"/>
  <c r="F48" i="47" s="1"/>
  <c r="G48" i="47" s="1"/>
  <c r="H48" i="47" s="1"/>
  <c r="I48" i="47" s="1"/>
  <c r="J48" i="47" s="1"/>
  <c r="K48" i="47" s="1"/>
  <c r="L48" i="47" s="1"/>
  <c r="M48" i="47" s="1"/>
  <c r="N48" i="47" s="1"/>
  <c r="O48" i="47" s="1"/>
  <c r="P48" i="47" s="1"/>
  <c r="Q48" i="47" s="1"/>
  <c r="R48" i="47" s="1"/>
  <c r="S48" i="47" s="1"/>
  <c r="E8" i="25"/>
  <c r="F2" i="25"/>
  <c r="D5" i="19"/>
  <c r="D8" i="19"/>
  <c r="D6" i="48"/>
  <c r="D7" i="19"/>
  <c r="D23" i="18"/>
  <c r="F11" i="18"/>
  <c r="G11" i="18" s="1"/>
  <c r="H11" i="18" s="1"/>
  <c r="I11" i="18" s="1"/>
  <c r="J11" i="18" s="1"/>
  <c r="K11" i="18" s="1"/>
  <c r="L11" i="18" s="1"/>
  <c r="M11" i="18" s="1"/>
  <c r="N11" i="18" s="1"/>
  <c r="O11" i="18" s="1"/>
  <c r="P11" i="18" s="1"/>
  <c r="Q11" i="18" s="1"/>
  <c r="R11" i="18" s="1"/>
  <c r="S11" i="18" s="1"/>
  <c r="E23" i="18" s="1"/>
  <c r="F23" i="18" s="1"/>
  <c r="G23" i="18" s="1"/>
  <c r="H23" i="18" s="1"/>
  <c r="I23" i="18" s="1"/>
  <c r="J23" i="18" s="1"/>
  <c r="K23" i="18" s="1"/>
  <c r="L23" i="18" s="1"/>
  <c r="M23" i="18" s="1"/>
  <c r="N23" i="18" s="1"/>
  <c r="O23" i="18" s="1"/>
  <c r="P23" i="18" s="1"/>
  <c r="Q23" i="18" s="1"/>
  <c r="R23" i="18" s="1"/>
  <c r="S23" i="18" s="1"/>
  <c r="D6" i="19" l="1"/>
  <c r="K48" i="60"/>
  <c r="F5" i="25"/>
  <c r="L48" i="60"/>
  <c r="D8" i="18"/>
  <c r="D47" i="60"/>
  <c r="D47" i="4"/>
  <c r="E48" i="60"/>
  <c r="F14" i="58" s="1"/>
  <c r="D46" i="60"/>
  <c r="Q48" i="60"/>
  <c r="F523" i="56"/>
  <c r="F524" i="56" s="1"/>
  <c r="H4" i="25"/>
  <c r="I4" i="25"/>
  <c r="K12" i="19"/>
  <c r="K4" i="25"/>
  <c r="G24" i="25"/>
  <c r="H24" i="25" s="1"/>
  <c r="N29" i="19"/>
  <c r="N14" i="25"/>
  <c r="M29" i="19"/>
  <c r="M14" i="25"/>
  <c r="R29" i="19"/>
  <c r="R14" i="25"/>
  <c r="M12" i="19"/>
  <c r="M4" i="25"/>
  <c r="P29" i="19"/>
  <c r="P14" i="25"/>
  <c r="Q12" i="19"/>
  <c r="Q4" i="25"/>
  <c r="G4" i="25"/>
  <c r="L29" i="19"/>
  <c r="L14" i="25"/>
  <c r="Q29" i="19"/>
  <c r="Q14" i="25"/>
  <c r="K14" i="4"/>
  <c r="K15" i="4" s="1"/>
  <c r="O29" i="19"/>
  <c r="O14" i="25"/>
  <c r="F29" i="19"/>
  <c r="F14" i="25"/>
  <c r="J29" i="19"/>
  <c r="J14" i="25"/>
  <c r="E29" i="19"/>
  <c r="E14" i="25"/>
  <c r="H29" i="19"/>
  <c r="H14" i="25"/>
  <c r="L12" i="19"/>
  <c r="L4" i="25"/>
  <c r="N12" i="19"/>
  <c r="N4" i="25"/>
  <c r="I29" i="19"/>
  <c r="I14" i="25"/>
  <c r="J14" i="4"/>
  <c r="G29" i="19"/>
  <c r="G14" i="25"/>
  <c r="P12" i="19"/>
  <c r="P4" i="25"/>
  <c r="O12" i="19"/>
  <c r="O4" i="25"/>
  <c r="D10" i="60"/>
  <c r="D57" i="60" s="1"/>
  <c r="S29" i="19"/>
  <c r="S14" i="25"/>
  <c r="R12" i="19"/>
  <c r="R4" i="25"/>
  <c r="G5" i="58"/>
  <c r="I15" i="4"/>
  <c r="I21" i="58"/>
  <c r="G56" i="53"/>
  <c r="S12" i="19"/>
  <c r="S4" i="25"/>
  <c r="K29" i="19"/>
  <c r="K14" i="25"/>
  <c r="J12" i="19"/>
  <c r="J4" i="25"/>
  <c r="D17" i="58"/>
  <c r="D11" i="47"/>
  <c r="E15" i="47"/>
  <c r="D15" i="47" s="1"/>
  <c r="E46" i="47"/>
  <c r="D46" i="47" s="1"/>
  <c r="D42" i="47"/>
  <c r="F19" i="58"/>
  <c r="F13" i="4"/>
  <c r="E4" i="25"/>
  <c r="D8" i="17"/>
  <c r="H15" i="4"/>
  <c r="G521" i="56"/>
  <c r="G523" i="56" s="1"/>
  <c r="G18" i="58"/>
  <c r="G19" i="58" s="1"/>
  <c r="G11" i="58"/>
  <c r="G7" i="58"/>
  <c r="G10" i="58"/>
  <c r="G8" i="58"/>
  <c r="G14" i="58"/>
  <c r="G6" i="58"/>
  <c r="F2" i="55"/>
  <c r="H2" i="58"/>
  <c r="H5" i="58" s="1"/>
  <c r="G36" i="58"/>
  <c r="G140" i="56"/>
  <c r="I43" i="6"/>
  <c r="I45" i="6" s="1"/>
  <c r="E52" i="53"/>
  <c r="F2" i="53"/>
  <c r="G2" i="53" s="1"/>
  <c r="H2" i="53" s="1"/>
  <c r="I2" i="53" s="1"/>
  <c r="J2" i="53" s="1"/>
  <c r="K2" i="53" s="1"/>
  <c r="L2" i="53" s="1"/>
  <c r="M2" i="53" s="1"/>
  <c r="N2" i="53" s="1"/>
  <c r="O2" i="53" s="1"/>
  <c r="P2" i="53" s="1"/>
  <c r="Q2" i="53" s="1"/>
  <c r="R2" i="53" s="1"/>
  <c r="S2" i="53" s="1"/>
  <c r="E14" i="53" s="1"/>
  <c r="F14" i="53" s="1"/>
  <c r="G14" i="53" s="1"/>
  <c r="H14" i="53" s="1"/>
  <c r="I14" i="53" s="1"/>
  <c r="J14" i="53" s="1"/>
  <c r="K14" i="53" s="1"/>
  <c r="L14" i="53" s="1"/>
  <c r="M14" i="53" s="1"/>
  <c r="N14" i="53" s="1"/>
  <c r="O14" i="53" s="1"/>
  <c r="P14" i="53" s="1"/>
  <c r="Q14" i="53" s="1"/>
  <c r="R14" i="53" s="1"/>
  <c r="S14" i="53" s="1"/>
  <c r="E142" i="55"/>
  <c r="F142" i="55" s="1"/>
  <c r="E55" i="55"/>
  <c r="F55" i="55" s="1"/>
  <c r="G55" i="55" s="1"/>
  <c r="H55" i="55" s="1"/>
  <c r="I55" i="55" s="1"/>
  <c r="J55" i="55" s="1"/>
  <c r="K55" i="55" s="1"/>
  <c r="L55" i="55" s="1"/>
  <c r="M55" i="55" s="1"/>
  <c r="N55" i="55" s="1"/>
  <c r="O55" i="55" s="1"/>
  <c r="P55" i="55" s="1"/>
  <c r="Q55" i="55" s="1"/>
  <c r="R55" i="55" s="1"/>
  <c r="S55" i="55" s="1"/>
  <c r="E63" i="55" s="1"/>
  <c r="F63" i="55" s="1"/>
  <c r="G63" i="55" s="1"/>
  <c r="H63" i="55" s="1"/>
  <c r="I63" i="55" s="1"/>
  <c r="J63" i="55" s="1"/>
  <c r="K63" i="55" s="1"/>
  <c r="L63" i="55" s="1"/>
  <c r="M63" i="55" s="1"/>
  <c r="N63" i="55" s="1"/>
  <c r="O63" i="55" s="1"/>
  <c r="P63" i="55" s="1"/>
  <c r="Q63" i="55" s="1"/>
  <c r="R63" i="55" s="1"/>
  <c r="S63" i="55" s="1"/>
  <c r="E100" i="55"/>
  <c r="F100" i="55" s="1"/>
  <c r="G100" i="55" s="1"/>
  <c r="H100" i="55" s="1"/>
  <c r="I100" i="55" s="1"/>
  <c r="J100" i="55" s="1"/>
  <c r="K100" i="55" s="1"/>
  <c r="L100" i="55" s="1"/>
  <c r="M100" i="55" s="1"/>
  <c r="N100" i="55" s="1"/>
  <c r="O100" i="55" s="1"/>
  <c r="P100" i="55" s="1"/>
  <c r="Q100" i="55" s="1"/>
  <c r="R100" i="55" s="1"/>
  <c r="S100" i="55" s="1"/>
  <c r="E110" i="55" s="1"/>
  <c r="F110" i="55" s="1"/>
  <c r="G110" i="55" s="1"/>
  <c r="H110" i="55" s="1"/>
  <c r="I110" i="55" s="1"/>
  <c r="J110" i="55" s="1"/>
  <c r="K110" i="55" s="1"/>
  <c r="L110" i="55" s="1"/>
  <c r="M110" i="55" s="1"/>
  <c r="N110" i="55" s="1"/>
  <c r="O110" i="55" s="1"/>
  <c r="P110" i="55" s="1"/>
  <c r="Q110" i="55" s="1"/>
  <c r="R110" i="55" s="1"/>
  <c r="S110" i="55" s="1"/>
  <c r="E21" i="55"/>
  <c r="E121" i="55"/>
  <c r="F121" i="55" s="1"/>
  <c r="G121" i="55" s="1"/>
  <c r="H121" i="55" s="1"/>
  <c r="I121" i="55" s="1"/>
  <c r="J121" i="55" s="1"/>
  <c r="K121" i="55" s="1"/>
  <c r="L121" i="55" s="1"/>
  <c r="M121" i="55" s="1"/>
  <c r="N121" i="55" s="1"/>
  <c r="O121" i="55" s="1"/>
  <c r="P121" i="55" s="1"/>
  <c r="Q121" i="55" s="1"/>
  <c r="R121" i="55" s="1"/>
  <c r="S121" i="55" s="1"/>
  <c r="E131" i="55" s="1"/>
  <c r="F131" i="55" s="1"/>
  <c r="G131" i="55" s="1"/>
  <c r="H131" i="55" s="1"/>
  <c r="I131" i="55" s="1"/>
  <c r="J131" i="55" s="1"/>
  <c r="K131" i="55" s="1"/>
  <c r="L131" i="55" s="1"/>
  <c r="M131" i="55" s="1"/>
  <c r="N131" i="55" s="1"/>
  <c r="O131" i="55" s="1"/>
  <c r="P131" i="55" s="1"/>
  <c r="Q131" i="55" s="1"/>
  <c r="R131" i="55" s="1"/>
  <c r="S131" i="55" s="1"/>
  <c r="D4" i="19"/>
  <c r="F2" i="63"/>
  <c r="G2" i="63" s="1"/>
  <c r="H2" i="63" s="1"/>
  <c r="I2" i="63" s="1"/>
  <c r="J2" i="63" s="1"/>
  <c r="K2" i="63" s="1"/>
  <c r="L2" i="63" s="1"/>
  <c r="M2" i="63" s="1"/>
  <c r="N2" i="63" s="1"/>
  <c r="O2" i="63" s="1"/>
  <c r="P2" i="63" s="1"/>
  <c r="Q2" i="63" s="1"/>
  <c r="R2" i="63" s="1"/>
  <c r="S2" i="63" s="1"/>
  <c r="E10" i="63" s="1"/>
  <c r="F10" i="63" s="1"/>
  <c r="G10" i="63" s="1"/>
  <c r="H10" i="63" s="1"/>
  <c r="I10" i="63" s="1"/>
  <c r="J10" i="63" s="1"/>
  <c r="K10" i="63" s="1"/>
  <c r="L10" i="63" s="1"/>
  <c r="M10" i="63" s="1"/>
  <c r="N10" i="63" s="1"/>
  <c r="O10" i="63" s="1"/>
  <c r="P10" i="63" s="1"/>
  <c r="Q10" i="63" s="1"/>
  <c r="R10" i="63" s="1"/>
  <c r="S10" i="63" s="1"/>
  <c r="E19" i="63"/>
  <c r="F19" i="63" s="1"/>
  <c r="G19" i="63" s="1"/>
  <c r="H19" i="63" s="1"/>
  <c r="I19" i="63" s="1"/>
  <c r="J19" i="63" s="1"/>
  <c r="K19" i="63" s="1"/>
  <c r="L19" i="63" s="1"/>
  <c r="M19" i="63" s="1"/>
  <c r="N19" i="63" s="1"/>
  <c r="O19" i="63" s="1"/>
  <c r="P19" i="63" s="1"/>
  <c r="Q19" i="63" s="1"/>
  <c r="R19" i="63" s="1"/>
  <c r="S19" i="63" s="1"/>
  <c r="E27" i="63" s="1"/>
  <c r="F27" i="63" s="1"/>
  <c r="G27" i="63" s="1"/>
  <c r="H27" i="63" s="1"/>
  <c r="I27" i="63" s="1"/>
  <c r="J27" i="63" s="1"/>
  <c r="K27" i="63" s="1"/>
  <c r="L27" i="63" s="1"/>
  <c r="M27" i="63" s="1"/>
  <c r="N27" i="63" s="1"/>
  <c r="O27" i="63" s="1"/>
  <c r="P27" i="63" s="1"/>
  <c r="Q27" i="63" s="1"/>
  <c r="R27" i="63" s="1"/>
  <c r="S27" i="63" s="1"/>
  <c r="G4" i="17"/>
  <c r="G5" i="17" s="1"/>
  <c r="H2" i="17"/>
  <c r="H7" i="17" s="1"/>
  <c r="G9" i="17"/>
  <c r="G4" i="18" s="1"/>
  <c r="E29" i="24"/>
  <c r="F2" i="24"/>
  <c r="E56" i="24"/>
  <c r="E4" i="18"/>
  <c r="E311" i="56"/>
  <c r="E280" i="56"/>
  <c r="F280" i="56" s="1"/>
  <c r="G280" i="56" s="1"/>
  <c r="H280" i="56" s="1"/>
  <c r="I280" i="56" s="1"/>
  <c r="J280" i="56" s="1"/>
  <c r="K280" i="56" s="1"/>
  <c r="L280" i="56" s="1"/>
  <c r="M280" i="56" s="1"/>
  <c r="N280" i="56" s="1"/>
  <c r="O280" i="56" s="1"/>
  <c r="P280" i="56" s="1"/>
  <c r="Q280" i="56" s="1"/>
  <c r="R280" i="56" s="1"/>
  <c r="S280" i="56" s="1"/>
  <c r="E295" i="56" s="1"/>
  <c r="F295" i="56" s="1"/>
  <c r="G295" i="56" s="1"/>
  <c r="H295" i="56" s="1"/>
  <c r="I295" i="56" s="1"/>
  <c r="J295" i="56" s="1"/>
  <c r="K295" i="56" s="1"/>
  <c r="L295" i="56" s="1"/>
  <c r="M295" i="56" s="1"/>
  <c r="N295" i="56" s="1"/>
  <c r="O295" i="56" s="1"/>
  <c r="P295" i="56" s="1"/>
  <c r="Q295" i="56" s="1"/>
  <c r="R295" i="56" s="1"/>
  <c r="S295" i="56" s="1"/>
  <c r="F249" i="56"/>
  <c r="G249" i="56" s="1"/>
  <c r="H249" i="56" s="1"/>
  <c r="I249" i="56" s="1"/>
  <c r="J249" i="56" s="1"/>
  <c r="K249" i="56" s="1"/>
  <c r="L249" i="56" s="1"/>
  <c r="M249" i="56" s="1"/>
  <c r="N249" i="56" s="1"/>
  <c r="O249" i="56" s="1"/>
  <c r="P249" i="56" s="1"/>
  <c r="Q249" i="56" s="1"/>
  <c r="R249" i="56" s="1"/>
  <c r="S249" i="56" s="1"/>
  <c r="E264" i="56" s="1"/>
  <c r="F264" i="56" s="1"/>
  <c r="G264" i="56" s="1"/>
  <c r="H264" i="56" s="1"/>
  <c r="I264" i="56" s="1"/>
  <c r="J264" i="56" s="1"/>
  <c r="K264" i="56" s="1"/>
  <c r="L264" i="56" s="1"/>
  <c r="M264" i="56" s="1"/>
  <c r="N264" i="56" s="1"/>
  <c r="O264" i="56" s="1"/>
  <c r="P264" i="56" s="1"/>
  <c r="Q264" i="56" s="1"/>
  <c r="R264" i="56" s="1"/>
  <c r="S264" i="56" s="1"/>
  <c r="F2" i="60"/>
  <c r="G2" i="60" s="1"/>
  <c r="H2" i="60" s="1"/>
  <c r="I2" i="60" s="1"/>
  <c r="J2" i="60" s="1"/>
  <c r="K2" i="60" s="1"/>
  <c r="L2" i="60" s="1"/>
  <c r="M2" i="60" s="1"/>
  <c r="N2" i="60" s="1"/>
  <c r="O2" i="60" s="1"/>
  <c r="P2" i="60" s="1"/>
  <c r="Q2" i="60" s="1"/>
  <c r="R2" i="60" s="1"/>
  <c r="S2" i="60" s="1"/>
  <c r="E12" i="60" s="1"/>
  <c r="F12" i="60" s="1"/>
  <c r="G12" i="60" s="1"/>
  <c r="H12" i="60" s="1"/>
  <c r="I12" i="60" s="1"/>
  <c r="J12" i="60" s="1"/>
  <c r="K12" i="60" s="1"/>
  <c r="L12" i="60" s="1"/>
  <c r="M12" i="60" s="1"/>
  <c r="N12" i="60" s="1"/>
  <c r="O12" i="60" s="1"/>
  <c r="P12" i="60" s="1"/>
  <c r="Q12" i="60" s="1"/>
  <c r="R12" i="60" s="1"/>
  <c r="S12" i="60" s="1"/>
  <c r="E23" i="60"/>
  <c r="F23" i="60" s="1"/>
  <c r="G23" i="60" s="1"/>
  <c r="H23" i="60" s="1"/>
  <c r="I23" i="60" s="1"/>
  <c r="J23" i="60" s="1"/>
  <c r="K23" i="60" s="1"/>
  <c r="L23" i="60" s="1"/>
  <c r="M23" i="60" s="1"/>
  <c r="N23" i="60" s="1"/>
  <c r="O23" i="60" s="1"/>
  <c r="P23" i="60" s="1"/>
  <c r="Q23" i="60" s="1"/>
  <c r="R23" i="60" s="1"/>
  <c r="S23" i="60" s="1"/>
  <c r="E33" i="60" s="1"/>
  <c r="F33" i="60" s="1"/>
  <c r="G33" i="60" s="1"/>
  <c r="H33" i="60" s="1"/>
  <c r="I33" i="60" s="1"/>
  <c r="J33" i="60" s="1"/>
  <c r="K33" i="60" s="1"/>
  <c r="L33" i="60" s="1"/>
  <c r="M33" i="60" s="1"/>
  <c r="N33" i="60" s="1"/>
  <c r="O33" i="60" s="1"/>
  <c r="P33" i="60" s="1"/>
  <c r="Q33" i="60" s="1"/>
  <c r="R33" i="60" s="1"/>
  <c r="S33" i="60" s="1"/>
  <c r="E44" i="60"/>
  <c r="F44" i="60" s="1"/>
  <c r="G44" i="60" s="1"/>
  <c r="H44" i="60" s="1"/>
  <c r="I44" i="60" s="1"/>
  <c r="J44" i="60" s="1"/>
  <c r="K44" i="60" s="1"/>
  <c r="L44" i="60" s="1"/>
  <c r="M44" i="60" s="1"/>
  <c r="N44" i="60" s="1"/>
  <c r="O44" i="60" s="1"/>
  <c r="P44" i="60" s="1"/>
  <c r="Q44" i="60" s="1"/>
  <c r="R44" i="60" s="1"/>
  <c r="S44" i="60" s="1"/>
  <c r="E50" i="60" s="1"/>
  <c r="F50" i="60" s="1"/>
  <c r="G50" i="60" s="1"/>
  <c r="H50" i="60" s="1"/>
  <c r="I50" i="60" s="1"/>
  <c r="J50" i="60" s="1"/>
  <c r="K50" i="60" s="1"/>
  <c r="L50" i="60" s="1"/>
  <c r="M50" i="60" s="1"/>
  <c r="N50" i="60" s="1"/>
  <c r="O50" i="60" s="1"/>
  <c r="P50" i="60" s="1"/>
  <c r="Q50" i="60" s="1"/>
  <c r="R50" i="60" s="1"/>
  <c r="S50" i="60" s="1"/>
  <c r="C322" i="56"/>
  <c r="C354" i="56"/>
  <c r="C364" i="56" s="1"/>
  <c r="C396" i="56" s="1"/>
  <c r="C406" i="56" s="1"/>
  <c r="C438" i="56" s="1"/>
  <c r="C448" i="56" s="1"/>
  <c r="C480" i="56" s="1"/>
  <c r="C490" i="56" s="1"/>
  <c r="H32" i="48"/>
  <c r="F5" i="18"/>
  <c r="F8" i="25"/>
  <c r="G2" i="25"/>
  <c r="G5" i="25" s="1"/>
  <c r="D37" i="22"/>
  <c r="D49" i="22" s="1"/>
  <c r="E4" i="17"/>
  <c r="G15" i="4"/>
  <c r="G524" i="56" l="1"/>
  <c r="F143" i="56"/>
  <c r="F144" i="56"/>
  <c r="F150" i="56" s="1"/>
  <c r="G13" i="58" s="1"/>
  <c r="F142" i="56"/>
  <c r="F145" i="56"/>
  <c r="D48" i="60"/>
  <c r="D59" i="60" s="1"/>
  <c r="H521" i="56"/>
  <c r="H523" i="56" s="1"/>
  <c r="H524" i="56" s="1"/>
  <c r="G142" i="55"/>
  <c r="G144" i="55" s="1"/>
  <c r="F144" i="55"/>
  <c r="F146" i="55" s="1"/>
  <c r="F8" i="55" s="1"/>
  <c r="F14" i="4"/>
  <c r="D12" i="19"/>
  <c r="D4" i="25"/>
  <c r="H41" i="25" s="1"/>
  <c r="F48" i="25" s="1"/>
  <c r="F49" i="25" s="1"/>
  <c r="F50" i="25" s="1"/>
  <c r="J15" i="4"/>
  <c r="F15" i="4" s="1"/>
  <c r="J21" i="58"/>
  <c r="H56" i="53"/>
  <c r="H7" i="58"/>
  <c r="H11" i="58"/>
  <c r="E62" i="53"/>
  <c r="E150" i="56"/>
  <c r="H8" i="58"/>
  <c r="I2" i="58"/>
  <c r="I5" i="58" s="1"/>
  <c r="H36" i="58"/>
  <c r="H14" i="58"/>
  <c r="H10" i="58"/>
  <c r="H6" i="58"/>
  <c r="H18" i="58"/>
  <c r="H19" i="58" s="1"/>
  <c r="E9" i="55"/>
  <c r="E58" i="55"/>
  <c r="E61" i="55" s="1"/>
  <c r="F12" i="58" s="1"/>
  <c r="G2" i="55"/>
  <c r="H140" i="56"/>
  <c r="E82" i="53"/>
  <c r="F82" i="53" s="1"/>
  <c r="G82" i="53" s="1"/>
  <c r="H82" i="53" s="1"/>
  <c r="I82" i="53" s="1"/>
  <c r="J82" i="53" s="1"/>
  <c r="K82" i="53" s="1"/>
  <c r="L82" i="53" s="1"/>
  <c r="M82" i="53" s="1"/>
  <c r="N82" i="53" s="1"/>
  <c r="O82" i="53" s="1"/>
  <c r="P82" i="53" s="1"/>
  <c r="Q82" i="53" s="1"/>
  <c r="R82" i="53" s="1"/>
  <c r="S82" i="53" s="1"/>
  <c r="E94" i="53" s="1"/>
  <c r="F94" i="53" s="1"/>
  <c r="G94" i="53" s="1"/>
  <c r="H94" i="53" s="1"/>
  <c r="I94" i="53" s="1"/>
  <c r="J94" i="53" s="1"/>
  <c r="K94" i="53" s="1"/>
  <c r="L94" i="53" s="1"/>
  <c r="M94" i="53" s="1"/>
  <c r="N94" i="53" s="1"/>
  <c r="O94" i="53" s="1"/>
  <c r="P94" i="53" s="1"/>
  <c r="Q94" i="53" s="1"/>
  <c r="R94" i="53" s="1"/>
  <c r="S94" i="53" s="1"/>
  <c r="F52" i="53"/>
  <c r="E38" i="55"/>
  <c r="F38" i="55" s="1"/>
  <c r="G38" i="55" s="1"/>
  <c r="H38" i="55" s="1"/>
  <c r="I38" i="55" s="1"/>
  <c r="J38" i="55" s="1"/>
  <c r="K38" i="55" s="1"/>
  <c r="L38" i="55" s="1"/>
  <c r="M38" i="55" s="1"/>
  <c r="N38" i="55" s="1"/>
  <c r="O38" i="55" s="1"/>
  <c r="P38" i="55" s="1"/>
  <c r="Q38" i="55" s="1"/>
  <c r="R38" i="55" s="1"/>
  <c r="S38" i="55" s="1"/>
  <c r="E46" i="55" s="1"/>
  <c r="F46" i="55" s="1"/>
  <c r="G46" i="55" s="1"/>
  <c r="H46" i="55" s="1"/>
  <c r="I46" i="55" s="1"/>
  <c r="J46" i="55" s="1"/>
  <c r="K46" i="55" s="1"/>
  <c r="L46" i="55" s="1"/>
  <c r="M46" i="55" s="1"/>
  <c r="N46" i="55" s="1"/>
  <c r="O46" i="55" s="1"/>
  <c r="P46" i="55" s="1"/>
  <c r="Q46" i="55" s="1"/>
  <c r="R46" i="55" s="1"/>
  <c r="S46" i="55" s="1"/>
  <c r="F21" i="55"/>
  <c r="G21" i="55" s="1"/>
  <c r="H21" i="55" s="1"/>
  <c r="I21" i="55" s="1"/>
  <c r="J21" i="55" s="1"/>
  <c r="K21" i="55" s="1"/>
  <c r="L21" i="55" s="1"/>
  <c r="M21" i="55" s="1"/>
  <c r="N21" i="55" s="1"/>
  <c r="O21" i="55" s="1"/>
  <c r="P21" i="55" s="1"/>
  <c r="Q21" i="55" s="1"/>
  <c r="R21" i="55" s="1"/>
  <c r="S21" i="55" s="1"/>
  <c r="E29" i="55" s="1"/>
  <c r="F29" i="55" s="1"/>
  <c r="G29" i="55" s="1"/>
  <c r="H29" i="55" s="1"/>
  <c r="I29" i="55" s="1"/>
  <c r="J29" i="55" s="1"/>
  <c r="K29" i="55" s="1"/>
  <c r="L29" i="55" s="1"/>
  <c r="M29" i="55" s="1"/>
  <c r="N29" i="55" s="1"/>
  <c r="O29" i="55" s="1"/>
  <c r="P29" i="55" s="1"/>
  <c r="Q29" i="55" s="1"/>
  <c r="R29" i="55" s="1"/>
  <c r="S29" i="55" s="1"/>
  <c r="I32" i="48"/>
  <c r="I521" i="56"/>
  <c r="I523" i="56" s="1"/>
  <c r="H2" i="25"/>
  <c r="H5" i="25" s="1"/>
  <c r="G5" i="18"/>
  <c r="G8" i="25"/>
  <c r="I2" i="17"/>
  <c r="I7" i="17" s="1"/>
  <c r="H9" i="17"/>
  <c r="H4" i="17"/>
  <c r="H5" i="17" s="1"/>
  <c r="E353" i="56"/>
  <c r="E332" i="56"/>
  <c r="F332" i="56" s="1"/>
  <c r="G332" i="56" s="1"/>
  <c r="H332" i="56" s="1"/>
  <c r="I332" i="56" s="1"/>
  <c r="J332" i="56" s="1"/>
  <c r="K332" i="56" s="1"/>
  <c r="L332" i="56" s="1"/>
  <c r="M332" i="56" s="1"/>
  <c r="N332" i="56" s="1"/>
  <c r="O332" i="56" s="1"/>
  <c r="P332" i="56" s="1"/>
  <c r="Q332" i="56" s="1"/>
  <c r="R332" i="56" s="1"/>
  <c r="S332" i="56" s="1"/>
  <c r="E342" i="56" s="1"/>
  <c r="F342" i="56" s="1"/>
  <c r="G342" i="56" s="1"/>
  <c r="H342" i="56" s="1"/>
  <c r="I342" i="56" s="1"/>
  <c r="J342" i="56" s="1"/>
  <c r="K342" i="56" s="1"/>
  <c r="L342" i="56" s="1"/>
  <c r="M342" i="56" s="1"/>
  <c r="N342" i="56" s="1"/>
  <c r="O342" i="56" s="1"/>
  <c r="P342" i="56" s="1"/>
  <c r="Q342" i="56" s="1"/>
  <c r="R342" i="56" s="1"/>
  <c r="S342" i="56" s="1"/>
  <c r="F311" i="56"/>
  <c r="G311" i="56" s="1"/>
  <c r="H311" i="56" s="1"/>
  <c r="I311" i="56" s="1"/>
  <c r="J311" i="56" s="1"/>
  <c r="K311" i="56" s="1"/>
  <c r="L311" i="56" s="1"/>
  <c r="M311" i="56" s="1"/>
  <c r="N311" i="56" s="1"/>
  <c r="O311" i="56" s="1"/>
  <c r="P311" i="56" s="1"/>
  <c r="Q311" i="56" s="1"/>
  <c r="R311" i="56" s="1"/>
  <c r="S311" i="56" s="1"/>
  <c r="E321" i="56" s="1"/>
  <c r="F321" i="56" s="1"/>
  <c r="G321" i="56" s="1"/>
  <c r="H321" i="56" s="1"/>
  <c r="I321" i="56" s="1"/>
  <c r="J321" i="56" s="1"/>
  <c r="K321" i="56" s="1"/>
  <c r="L321" i="56" s="1"/>
  <c r="M321" i="56" s="1"/>
  <c r="N321" i="56" s="1"/>
  <c r="O321" i="56" s="1"/>
  <c r="P321" i="56" s="1"/>
  <c r="Q321" i="56" s="1"/>
  <c r="R321" i="56" s="1"/>
  <c r="S321" i="56" s="1"/>
  <c r="E5" i="17"/>
  <c r="F6" i="18"/>
  <c r="E105" i="24"/>
  <c r="F56" i="24"/>
  <c r="E6" i="18"/>
  <c r="G2" i="24"/>
  <c r="H142" i="55"/>
  <c r="H144" i="55" s="1"/>
  <c r="F29" i="24"/>
  <c r="G81" i="56" l="1"/>
  <c r="G73" i="56"/>
  <c r="G74" i="56"/>
  <c r="G84" i="56"/>
  <c r="G75" i="56"/>
  <c r="G82" i="56"/>
  <c r="G83" i="56"/>
  <c r="G76" i="56"/>
  <c r="E115" i="24"/>
  <c r="E116" i="24"/>
  <c r="E109" i="24"/>
  <c r="E117" i="24"/>
  <c r="E119" i="24"/>
  <c r="E112" i="24"/>
  <c r="E113" i="24"/>
  <c r="E114" i="24"/>
  <c r="E110" i="24"/>
  <c r="E118" i="24"/>
  <c r="E111" i="24"/>
  <c r="E120" i="24"/>
  <c r="E108" i="24"/>
  <c r="K21" i="58"/>
  <c r="I56" i="53"/>
  <c r="H145" i="56"/>
  <c r="H143" i="56"/>
  <c r="H144" i="56"/>
  <c r="H142" i="56"/>
  <c r="I7" i="58"/>
  <c r="I11" i="58"/>
  <c r="F62" i="53"/>
  <c r="F13" i="58"/>
  <c r="H2" i="55"/>
  <c r="I14" i="58"/>
  <c r="I10" i="58"/>
  <c r="J2" i="58"/>
  <c r="I8" i="58"/>
  <c r="I18" i="58"/>
  <c r="I19" i="58" s="1"/>
  <c r="I6" i="58"/>
  <c r="I36" i="58"/>
  <c r="I140" i="56"/>
  <c r="E107" i="53"/>
  <c r="F107" i="53" s="1"/>
  <c r="G107" i="53" s="1"/>
  <c r="H107" i="53" s="1"/>
  <c r="I107" i="53" s="1"/>
  <c r="J107" i="53" s="1"/>
  <c r="K107" i="53" s="1"/>
  <c r="L107" i="53" s="1"/>
  <c r="M107" i="53" s="1"/>
  <c r="N107" i="53" s="1"/>
  <c r="O107" i="53" s="1"/>
  <c r="P107" i="53" s="1"/>
  <c r="Q107" i="53" s="1"/>
  <c r="R107" i="53" s="1"/>
  <c r="S107" i="53" s="1"/>
  <c r="E119" i="53" s="1"/>
  <c r="F119" i="53" s="1"/>
  <c r="G119" i="53" s="1"/>
  <c r="H119" i="53" s="1"/>
  <c r="I119" i="53" s="1"/>
  <c r="J119" i="53" s="1"/>
  <c r="K119" i="53" s="1"/>
  <c r="L119" i="53" s="1"/>
  <c r="M119" i="53" s="1"/>
  <c r="N119" i="53" s="1"/>
  <c r="O119" i="53" s="1"/>
  <c r="P119" i="53" s="1"/>
  <c r="Q119" i="53" s="1"/>
  <c r="R119" i="53" s="1"/>
  <c r="S119" i="53" s="1"/>
  <c r="F9" i="58"/>
  <c r="G52" i="53"/>
  <c r="F145" i="55"/>
  <c r="G145" i="55" s="1"/>
  <c r="H4" i="18"/>
  <c r="I524" i="56"/>
  <c r="J521" i="56"/>
  <c r="J523" i="56" s="1"/>
  <c r="H2" i="24"/>
  <c r="G6" i="18"/>
  <c r="I9" i="17"/>
  <c r="I4" i="18" s="1"/>
  <c r="J2" i="17"/>
  <c r="J7" i="17" s="1"/>
  <c r="I4" i="17"/>
  <c r="I5" i="17" s="1"/>
  <c r="G29" i="24"/>
  <c r="H8" i="25"/>
  <c r="H5" i="18"/>
  <c r="I2" i="25"/>
  <c r="I5" i="25" s="1"/>
  <c r="G146" i="55"/>
  <c r="G56" i="24"/>
  <c r="F105" i="24"/>
  <c r="F107" i="24" s="1"/>
  <c r="E395" i="56"/>
  <c r="E374" i="56"/>
  <c r="F374" i="56" s="1"/>
  <c r="G374" i="56" s="1"/>
  <c r="H374" i="56" s="1"/>
  <c r="I374" i="56" s="1"/>
  <c r="J374" i="56" s="1"/>
  <c r="K374" i="56" s="1"/>
  <c r="L374" i="56" s="1"/>
  <c r="M374" i="56" s="1"/>
  <c r="N374" i="56" s="1"/>
  <c r="O374" i="56" s="1"/>
  <c r="P374" i="56" s="1"/>
  <c r="Q374" i="56" s="1"/>
  <c r="R374" i="56" s="1"/>
  <c r="S374" i="56" s="1"/>
  <c r="E384" i="56" s="1"/>
  <c r="F384" i="56" s="1"/>
  <c r="G384" i="56" s="1"/>
  <c r="H384" i="56" s="1"/>
  <c r="I384" i="56" s="1"/>
  <c r="J384" i="56" s="1"/>
  <c r="K384" i="56" s="1"/>
  <c r="L384" i="56" s="1"/>
  <c r="M384" i="56" s="1"/>
  <c r="N384" i="56" s="1"/>
  <c r="O384" i="56" s="1"/>
  <c r="P384" i="56" s="1"/>
  <c r="Q384" i="56" s="1"/>
  <c r="R384" i="56" s="1"/>
  <c r="S384" i="56" s="1"/>
  <c r="F353" i="56"/>
  <c r="G353" i="56" s="1"/>
  <c r="H353" i="56" s="1"/>
  <c r="I353" i="56" s="1"/>
  <c r="J353" i="56" s="1"/>
  <c r="K353" i="56" s="1"/>
  <c r="L353" i="56" s="1"/>
  <c r="M353" i="56" s="1"/>
  <c r="N353" i="56" s="1"/>
  <c r="O353" i="56" s="1"/>
  <c r="P353" i="56" s="1"/>
  <c r="Q353" i="56" s="1"/>
  <c r="R353" i="56" s="1"/>
  <c r="S353" i="56" s="1"/>
  <c r="E363" i="56" s="1"/>
  <c r="F363" i="56" s="1"/>
  <c r="G363" i="56" s="1"/>
  <c r="H363" i="56" s="1"/>
  <c r="I363" i="56" s="1"/>
  <c r="J363" i="56" s="1"/>
  <c r="K363" i="56" s="1"/>
  <c r="L363" i="56" s="1"/>
  <c r="M363" i="56" s="1"/>
  <c r="N363" i="56" s="1"/>
  <c r="O363" i="56" s="1"/>
  <c r="P363" i="56" s="1"/>
  <c r="Q363" i="56" s="1"/>
  <c r="R363" i="56" s="1"/>
  <c r="S363" i="56" s="1"/>
  <c r="I142" i="55"/>
  <c r="I144" i="55" s="1"/>
  <c r="E140" i="24"/>
  <c r="E176" i="24" s="1"/>
  <c r="J32" i="48"/>
  <c r="G145" i="56" l="1"/>
  <c r="G144" i="56"/>
  <c r="G143" i="56"/>
  <c r="G103" i="56"/>
  <c r="G142" i="56"/>
  <c r="G150" i="56" s="1"/>
  <c r="H13" i="58" s="1"/>
  <c r="G8" i="55"/>
  <c r="G4" i="55"/>
  <c r="J5" i="58"/>
  <c r="L21" i="58"/>
  <c r="J56" i="53"/>
  <c r="I145" i="56"/>
  <c r="I144" i="56"/>
  <c r="I143" i="56"/>
  <c r="I142" i="56"/>
  <c r="H150" i="56"/>
  <c r="I13" i="58" s="1"/>
  <c r="G62" i="53"/>
  <c r="J7" i="58"/>
  <c r="J11" i="58"/>
  <c r="J36" i="58"/>
  <c r="J10" i="58"/>
  <c r="J18" i="58"/>
  <c r="J19" i="58" s="1"/>
  <c r="J8" i="58"/>
  <c r="K2" i="58"/>
  <c r="J14" i="58"/>
  <c r="J6" i="58"/>
  <c r="I2" i="55"/>
  <c r="J140" i="56"/>
  <c r="G9" i="58"/>
  <c r="H52" i="53"/>
  <c r="F9" i="55"/>
  <c r="J2" i="25"/>
  <c r="J5" i="25" s="1"/>
  <c r="I8" i="25"/>
  <c r="I5" i="18"/>
  <c r="H145" i="55"/>
  <c r="E192" i="24"/>
  <c r="E33" i="24" s="1"/>
  <c r="E40" i="24" s="1"/>
  <c r="E156" i="24"/>
  <c r="E6" i="24" s="1"/>
  <c r="H6" i="18"/>
  <c r="H29" i="24"/>
  <c r="E416" i="56"/>
  <c r="F416" i="56" s="1"/>
  <c r="G416" i="56" s="1"/>
  <c r="H416" i="56" s="1"/>
  <c r="I416" i="56" s="1"/>
  <c r="J416" i="56" s="1"/>
  <c r="K416" i="56" s="1"/>
  <c r="L416" i="56" s="1"/>
  <c r="M416" i="56" s="1"/>
  <c r="N416" i="56" s="1"/>
  <c r="O416" i="56" s="1"/>
  <c r="P416" i="56" s="1"/>
  <c r="Q416" i="56" s="1"/>
  <c r="R416" i="56" s="1"/>
  <c r="S416" i="56" s="1"/>
  <c r="E426" i="56" s="1"/>
  <c r="F426" i="56" s="1"/>
  <c r="G426" i="56" s="1"/>
  <c r="H426" i="56" s="1"/>
  <c r="I426" i="56" s="1"/>
  <c r="J426" i="56" s="1"/>
  <c r="K426" i="56" s="1"/>
  <c r="L426" i="56" s="1"/>
  <c r="M426" i="56" s="1"/>
  <c r="N426" i="56" s="1"/>
  <c r="O426" i="56" s="1"/>
  <c r="P426" i="56" s="1"/>
  <c r="Q426" i="56" s="1"/>
  <c r="R426" i="56" s="1"/>
  <c r="S426" i="56" s="1"/>
  <c r="F395" i="56"/>
  <c r="G395" i="56" s="1"/>
  <c r="H395" i="56" s="1"/>
  <c r="I395" i="56" s="1"/>
  <c r="J395" i="56" s="1"/>
  <c r="K395" i="56" s="1"/>
  <c r="L395" i="56" s="1"/>
  <c r="M395" i="56" s="1"/>
  <c r="N395" i="56" s="1"/>
  <c r="O395" i="56" s="1"/>
  <c r="P395" i="56" s="1"/>
  <c r="Q395" i="56" s="1"/>
  <c r="R395" i="56" s="1"/>
  <c r="S395" i="56" s="1"/>
  <c r="E405" i="56" s="1"/>
  <c r="F405" i="56" s="1"/>
  <c r="G405" i="56" s="1"/>
  <c r="H405" i="56" s="1"/>
  <c r="I405" i="56" s="1"/>
  <c r="J405" i="56" s="1"/>
  <c r="K405" i="56" s="1"/>
  <c r="L405" i="56" s="1"/>
  <c r="M405" i="56" s="1"/>
  <c r="N405" i="56" s="1"/>
  <c r="O405" i="56" s="1"/>
  <c r="P405" i="56" s="1"/>
  <c r="Q405" i="56" s="1"/>
  <c r="R405" i="56" s="1"/>
  <c r="S405" i="56" s="1"/>
  <c r="E437" i="56"/>
  <c r="F140" i="24"/>
  <c r="F176" i="24" s="1"/>
  <c r="F115" i="24"/>
  <c r="I2" i="24"/>
  <c r="J9" i="17"/>
  <c r="J4" i="18" s="1"/>
  <c r="J4" i="17"/>
  <c r="K2" i="17"/>
  <c r="K7" i="17" s="1"/>
  <c r="H146" i="55"/>
  <c r="K32" i="48"/>
  <c r="H56" i="24"/>
  <c r="G105" i="24"/>
  <c r="G107" i="24" s="1"/>
  <c r="K521" i="56"/>
  <c r="K523" i="56" s="1"/>
  <c r="J524" i="56"/>
  <c r="J142" i="55"/>
  <c r="J144" i="55" s="1"/>
  <c r="G57" i="55" l="1"/>
  <c r="J8" i="56"/>
  <c r="J10" i="56"/>
  <c r="J11" i="56"/>
  <c r="J9" i="56"/>
  <c r="J85" i="56"/>
  <c r="J86" i="56"/>
  <c r="J87" i="56"/>
  <c r="J88" i="56"/>
  <c r="H8" i="55"/>
  <c r="H4" i="55"/>
  <c r="H57" i="55" s="1"/>
  <c r="M21" i="58"/>
  <c r="K56" i="53"/>
  <c r="K5" i="58"/>
  <c r="J145" i="56"/>
  <c r="J144" i="56"/>
  <c r="J143" i="56"/>
  <c r="J142" i="56"/>
  <c r="E13" i="24"/>
  <c r="E11" i="19" s="1"/>
  <c r="K7" i="58"/>
  <c r="K11" i="58"/>
  <c r="H62" i="53"/>
  <c r="I150" i="56"/>
  <c r="K18" i="58"/>
  <c r="K19" i="58" s="1"/>
  <c r="L2" i="58"/>
  <c r="K14" i="58"/>
  <c r="K10" i="58"/>
  <c r="K8" i="58"/>
  <c r="K36" i="58"/>
  <c r="K6" i="58"/>
  <c r="J2" i="55"/>
  <c r="K140" i="56"/>
  <c r="H9" i="58"/>
  <c r="I52" i="53"/>
  <c r="F58" i="55"/>
  <c r="F61" i="55" s="1"/>
  <c r="F114" i="24"/>
  <c r="F112" i="24"/>
  <c r="F111" i="24"/>
  <c r="F117" i="24"/>
  <c r="F109" i="24"/>
  <c r="F113" i="24"/>
  <c r="F119" i="24"/>
  <c r="F110" i="24"/>
  <c r="F118" i="24"/>
  <c r="F116" i="24"/>
  <c r="F120" i="24"/>
  <c r="F108" i="24"/>
  <c r="F156" i="24" s="1"/>
  <c r="E20" i="48"/>
  <c r="K142" i="55"/>
  <c r="K144" i="55" s="1"/>
  <c r="L32" i="48"/>
  <c r="I6" i="18"/>
  <c r="K524" i="56"/>
  <c r="L521" i="56"/>
  <c r="L523" i="56" s="1"/>
  <c r="J2" i="24"/>
  <c r="K2" i="25"/>
  <c r="K5" i="25" s="1"/>
  <c r="J5" i="18"/>
  <c r="J8" i="25"/>
  <c r="G140" i="24"/>
  <c r="G176" i="24" s="1"/>
  <c r="I146" i="55"/>
  <c r="E479" i="56"/>
  <c r="E458" i="56"/>
  <c r="F458" i="56" s="1"/>
  <c r="G458" i="56" s="1"/>
  <c r="H458" i="56" s="1"/>
  <c r="I458" i="56" s="1"/>
  <c r="J458" i="56" s="1"/>
  <c r="K458" i="56" s="1"/>
  <c r="L458" i="56" s="1"/>
  <c r="M458" i="56" s="1"/>
  <c r="N458" i="56" s="1"/>
  <c r="O458" i="56" s="1"/>
  <c r="P458" i="56" s="1"/>
  <c r="Q458" i="56" s="1"/>
  <c r="R458" i="56" s="1"/>
  <c r="S458" i="56" s="1"/>
  <c r="E468" i="56" s="1"/>
  <c r="F468" i="56" s="1"/>
  <c r="G468" i="56" s="1"/>
  <c r="H468" i="56" s="1"/>
  <c r="I468" i="56" s="1"/>
  <c r="J468" i="56" s="1"/>
  <c r="K468" i="56" s="1"/>
  <c r="L468" i="56" s="1"/>
  <c r="M468" i="56" s="1"/>
  <c r="N468" i="56" s="1"/>
  <c r="O468" i="56" s="1"/>
  <c r="P468" i="56" s="1"/>
  <c r="Q468" i="56" s="1"/>
  <c r="R468" i="56" s="1"/>
  <c r="S468" i="56" s="1"/>
  <c r="F437" i="56"/>
  <c r="G437" i="56" s="1"/>
  <c r="H437" i="56" s="1"/>
  <c r="I437" i="56" s="1"/>
  <c r="J437" i="56" s="1"/>
  <c r="K437" i="56" s="1"/>
  <c r="L437" i="56" s="1"/>
  <c r="M437" i="56" s="1"/>
  <c r="N437" i="56" s="1"/>
  <c r="O437" i="56" s="1"/>
  <c r="P437" i="56" s="1"/>
  <c r="Q437" i="56" s="1"/>
  <c r="R437" i="56" s="1"/>
  <c r="S437" i="56" s="1"/>
  <c r="E447" i="56" s="1"/>
  <c r="F447" i="56" s="1"/>
  <c r="G447" i="56" s="1"/>
  <c r="H447" i="56" s="1"/>
  <c r="I447" i="56" s="1"/>
  <c r="J447" i="56" s="1"/>
  <c r="K447" i="56" s="1"/>
  <c r="L447" i="56" s="1"/>
  <c r="M447" i="56" s="1"/>
  <c r="N447" i="56" s="1"/>
  <c r="O447" i="56" s="1"/>
  <c r="P447" i="56" s="1"/>
  <c r="Q447" i="56" s="1"/>
  <c r="R447" i="56" s="1"/>
  <c r="S447" i="56" s="1"/>
  <c r="L2" i="17"/>
  <c r="L7" i="17" s="1"/>
  <c r="K4" i="17"/>
  <c r="K5" i="17" s="1"/>
  <c r="K9" i="17"/>
  <c r="J5" i="17"/>
  <c r="I56" i="24"/>
  <c r="H105" i="24"/>
  <c r="H107" i="24" s="1"/>
  <c r="G58" i="55"/>
  <c r="G61" i="55" s="1"/>
  <c r="H12" i="58" s="1"/>
  <c r="G9" i="55"/>
  <c r="I29" i="24"/>
  <c r="I145" i="55"/>
  <c r="I8" i="55" l="1"/>
  <c r="I4" i="55"/>
  <c r="I57" i="55" s="1"/>
  <c r="J149" i="56"/>
  <c r="J148" i="56"/>
  <c r="J147" i="56"/>
  <c r="J146" i="56"/>
  <c r="J103" i="56"/>
  <c r="J34" i="56"/>
  <c r="K8" i="56"/>
  <c r="K34" i="56" s="1"/>
  <c r="K87" i="56"/>
  <c r="K10" i="56"/>
  <c r="K11" i="56"/>
  <c r="K9" i="56"/>
  <c r="K88" i="56"/>
  <c r="K149" i="56" s="1"/>
  <c r="K85" i="56"/>
  <c r="K86" i="56"/>
  <c r="K147" i="56" s="1"/>
  <c r="L5" i="58"/>
  <c r="N21" i="58"/>
  <c r="L56" i="53"/>
  <c r="K145" i="56"/>
  <c r="K144" i="56"/>
  <c r="K143" i="56"/>
  <c r="K142" i="56"/>
  <c r="E60" i="24"/>
  <c r="E6" i="17" s="1"/>
  <c r="E14" i="17" s="1"/>
  <c r="E5" i="48"/>
  <c r="E7" i="48" s="1"/>
  <c r="E9" i="19" s="1"/>
  <c r="I62" i="53"/>
  <c r="L7" i="58"/>
  <c r="L11" i="58"/>
  <c r="J13" i="58"/>
  <c r="K2" i="55"/>
  <c r="L36" i="58"/>
  <c r="L14" i="58"/>
  <c r="L10" i="58"/>
  <c r="L18" i="58"/>
  <c r="L19" i="58" s="1"/>
  <c r="M2" i="58"/>
  <c r="L8" i="58"/>
  <c r="L6" i="58"/>
  <c r="L140" i="56"/>
  <c r="I9" i="58"/>
  <c r="J52" i="53"/>
  <c r="G111" i="24"/>
  <c r="G114" i="24"/>
  <c r="G117" i="24"/>
  <c r="G116" i="24"/>
  <c r="G108" i="24"/>
  <c r="G156" i="24" s="1"/>
  <c r="F192" i="24"/>
  <c r="F33" i="24" s="1"/>
  <c r="F6" i="24"/>
  <c r="F13" i="24" s="1"/>
  <c r="F11" i="19" s="1"/>
  <c r="G109" i="24"/>
  <c r="G112" i="24"/>
  <c r="K2" i="24"/>
  <c r="I105" i="24"/>
  <c r="I107" i="24" s="1"/>
  <c r="J56" i="24"/>
  <c r="J145" i="55"/>
  <c r="G115" i="24"/>
  <c r="G120" i="24"/>
  <c r="J6" i="18"/>
  <c r="G118" i="24"/>
  <c r="M32" i="48"/>
  <c r="F479" i="56"/>
  <c r="G479" i="56" s="1"/>
  <c r="H479" i="56" s="1"/>
  <c r="I479" i="56" s="1"/>
  <c r="J479" i="56" s="1"/>
  <c r="K479" i="56" s="1"/>
  <c r="L479" i="56" s="1"/>
  <c r="M479" i="56" s="1"/>
  <c r="N479" i="56" s="1"/>
  <c r="O479" i="56" s="1"/>
  <c r="P479" i="56" s="1"/>
  <c r="Q479" i="56" s="1"/>
  <c r="R479" i="56" s="1"/>
  <c r="S479" i="56" s="1"/>
  <c r="E489" i="56" s="1"/>
  <c r="F489" i="56" s="1"/>
  <c r="G489" i="56" s="1"/>
  <c r="H489" i="56" s="1"/>
  <c r="I489" i="56" s="1"/>
  <c r="J489" i="56" s="1"/>
  <c r="K489" i="56" s="1"/>
  <c r="L489" i="56" s="1"/>
  <c r="M489" i="56" s="1"/>
  <c r="N489" i="56" s="1"/>
  <c r="O489" i="56" s="1"/>
  <c r="P489" i="56" s="1"/>
  <c r="Q489" i="56" s="1"/>
  <c r="R489" i="56" s="1"/>
  <c r="S489" i="56" s="1"/>
  <c r="E500" i="56"/>
  <c r="F500" i="56" s="1"/>
  <c r="G500" i="56" s="1"/>
  <c r="H500" i="56" s="1"/>
  <c r="I500" i="56" s="1"/>
  <c r="J500" i="56" s="1"/>
  <c r="K500" i="56" s="1"/>
  <c r="L500" i="56" s="1"/>
  <c r="M500" i="56" s="1"/>
  <c r="N500" i="56" s="1"/>
  <c r="O500" i="56" s="1"/>
  <c r="P500" i="56" s="1"/>
  <c r="Q500" i="56" s="1"/>
  <c r="R500" i="56" s="1"/>
  <c r="S500" i="56" s="1"/>
  <c r="E510" i="56" s="1"/>
  <c r="F510" i="56" s="1"/>
  <c r="G510" i="56" s="1"/>
  <c r="H510" i="56" s="1"/>
  <c r="I510" i="56" s="1"/>
  <c r="J510" i="56" s="1"/>
  <c r="K510" i="56" s="1"/>
  <c r="L510" i="56" s="1"/>
  <c r="M510" i="56" s="1"/>
  <c r="N510" i="56" s="1"/>
  <c r="O510" i="56" s="1"/>
  <c r="P510" i="56" s="1"/>
  <c r="Q510" i="56" s="1"/>
  <c r="R510" i="56" s="1"/>
  <c r="S510" i="56" s="1"/>
  <c r="K8" i="25"/>
  <c r="K5" i="18"/>
  <c r="L2" i="25"/>
  <c r="L5" i="25" s="1"/>
  <c r="G113" i="24"/>
  <c r="E67" i="24"/>
  <c r="H58" i="55"/>
  <c r="H9" i="55"/>
  <c r="G12" i="58"/>
  <c r="J29" i="24"/>
  <c r="K4" i="18"/>
  <c r="J146" i="55"/>
  <c r="L142" i="55"/>
  <c r="L144" i="55" s="1"/>
  <c r="M2" i="17"/>
  <c r="M7" i="17" s="1"/>
  <c r="L9" i="17"/>
  <c r="L4" i="18" s="1"/>
  <c r="L4" i="17"/>
  <c r="L5" i="17" s="1"/>
  <c r="M521" i="56"/>
  <c r="M523" i="56" s="1"/>
  <c r="L524" i="56"/>
  <c r="G110" i="24"/>
  <c r="G119" i="24"/>
  <c r="H140" i="24"/>
  <c r="H176" i="24" s="1"/>
  <c r="E22" i="48"/>
  <c r="K103" i="56" l="1"/>
  <c r="K146" i="56"/>
  <c r="J150" i="56"/>
  <c r="K13" i="58" s="1"/>
  <c r="L11" i="56"/>
  <c r="L9" i="56"/>
  <c r="L86" i="56"/>
  <c r="L147" i="56" s="1"/>
  <c r="L87" i="56"/>
  <c r="L148" i="56" s="1"/>
  <c r="L8" i="56"/>
  <c r="L10" i="56"/>
  <c r="L85" i="56"/>
  <c r="L88" i="56"/>
  <c r="K148" i="56"/>
  <c r="J8" i="55"/>
  <c r="J4" i="55"/>
  <c r="M5" i="58"/>
  <c r="O21" i="58"/>
  <c r="M56" i="53"/>
  <c r="L145" i="56"/>
  <c r="L143" i="56"/>
  <c r="L144" i="56"/>
  <c r="L142" i="56"/>
  <c r="F4" i="58"/>
  <c r="G192" i="24"/>
  <c r="G33" i="24" s="1"/>
  <c r="G40" i="24" s="1"/>
  <c r="E34" i="48"/>
  <c r="E10" i="25" s="1"/>
  <c r="J62" i="53"/>
  <c r="M7" i="58"/>
  <c r="M11" i="58"/>
  <c r="K150" i="56"/>
  <c r="L13" i="58" s="1"/>
  <c r="F20" i="48"/>
  <c r="F22" i="48" s="1"/>
  <c r="F40" i="24"/>
  <c r="F67" i="24" s="1"/>
  <c r="L2" i="55"/>
  <c r="M10" i="58"/>
  <c r="M36" i="58"/>
  <c r="M6" i="58"/>
  <c r="M18" i="58"/>
  <c r="M19" i="58" s="1"/>
  <c r="M8" i="58"/>
  <c r="M14" i="58"/>
  <c r="N2" i="58"/>
  <c r="M140" i="56"/>
  <c r="J9" i="58"/>
  <c r="K52" i="53"/>
  <c r="H114" i="24"/>
  <c r="F60" i="24"/>
  <c r="F6" i="17" s="1"/>
  <c r="F5" i="48"/>
  <c r="F7" i="48" s="1"/>
  <c r="H115" i="24"/>
  <c r="H111" i="24"/>
  <c r="F15" i="19"/>
  <c r="K146" i="55"/>
  <c r="H61" i="55"/>
  <c r="L2" i="24"/>
  <c r="N521" i="56"/>
  <c r="N523" i="56" s="1"/>
  <c r="M524" i="56"/>
  <c r="J105" i="24"/>
  <c r="J107" i="24" s="1"/>
  <c r="K56" i="24"/>
  <c r="H120" i="24"/>
  <c r="I140" i="24"/>
  <c r="I176" i="24" s="1"/>
  <c r="M9" i="17"/>
  <c r="M4" i="18" s="1"/>
  <c r="N2" i="17"/>
  <c r="N7" i="17" s="1"/>
  <c r="M4" i="17"/>
  <c r="H113" i="24"/>
  <c r="M142" i="55"/>
  <c r="M144" i="55" s="1"/>
  <c r="K29" i="24"/>
  <c r="H117" i="24"/>
  <c r="H108" i="24"/>
  <c r="H116" i="24"/>
  <c r="H109" i="24"/>
  <c r="E15" i="19"/>
  <c r="H112" i="24"/>
  <c r="N32" i="48"/>
  <c r="H119" i="24"/>
  <c r="E6" i="25"/>
  <c r="E10" i="17"/>
  <c r="E11" i="17" s="1"/>
  <c r="K145" i="55"/>
  <c r="G6" i="24"/>
  <c r="G13" i="24" s="1"/>
  <c r="G11" i="19" s="1"/>
  <c r="M2" i="25"/>
  <c r="M5" i="25" s="1"/>
  <c r="L5" i="18"/>
  <c r="L8" i="25"/>
  <c r="E35" i="48"/>
  <c r="H110" i="24"/>
  <c r="I9" i="55"/>
  <c r="I58" i="55"/>
  <c r="I61" i="55" s="1"/>
  <c r="J12" i="58" s="1"/>
  <c r="K6" i="18"/>
  <c r="H118" i="24"/>
  <c r="M11" i="56" l="1"/>
  <c r="M88" i="56"/>
  <c r="M149" i="56" s="1"/>
  <c r="M87" i="56"/>
  <c r="M8" i="56"/>
  <c r="M10" i="56"/>
  <c r="M85" i="56"/>
  <c r="M86" i="56"/>
  <c r="M147" i="56" s="1"/>
  <c r="M9" i="56"/>
  <c r="J57" i="55"/>
  <c r="K8" i="55"/>
  <c r="K4" i="55"/>
  <c r="K57" i="55" s="1"/>
  <c r="L149" i="56"/>
  <c r="L146" i="56"/>
  <c r="L103" i="56"/>
  <c r="L34" i="56"/>
  <c r="P21" i="58"/>
  <c r="N56" i="53"/>
  <c r="N5" i="58"/>
  <c r="F16" i="58"/>
  <c r="F20" i="58" s="1"/>
  <c r="F23" i="58"/>
  <c r="M145" i="56"/>
  <c r="M143" i="56"/>
  <c r="M144" i="56"/>
  <c r="M142" i="56"/>
  <c r="F9" i="19"/>
  <c r="F10" i="19" s="1"/>
  <c r="F16" i="19" s="1"/>
  <c r="E36" i="48"/>
  <c r="L150" i="56"/>
  <c r="M13" i="58" s="1"/>
  <c r="K62" i="53"/>
  <c r="N7" i="58"/>
  <c r="N11" i="58"/>
  <c r="F14" i="17"/>
  <c r="F10" i="17"/>
  <c r="F11" i="17" s="1"/>
  <c r="F13" i="17" s="1"/>
  <c r="N8" i="58"/>
  <c r="N36" i="58"/>
  <c r="N14" i="58"/>
  <c r="N10" i="58"/>
  <c r="O2" i="58"/>
  <c r="N6" i="58"/>
  <c r="N18" i="58"/>
  <c r="N19" i="58" s="1"/>
  <c r="M2" i="55"/>
  <c r="N140" i="56"/>
  <c r="G4" i="58"/>
  <c r="K9" i="58"/>
  <c r="L52" i="53"/>
  <c r="I110" i="24"/>
  <c r="F34" i="48"/>
  <c r="F10" i="25" s="1"/>
  <c r="I119" i="24"/>
  <c r="F35" i="48"/>
  <c r="I111" i="24"/>
  <c r="I117" i="24"/>
  <c r="I112" i="24"/>
  <c r="L6" i="18"/>
  <c r="J9" i="55"/>
  <c r="J58" i="55"/>
  <c r="N2" i="25"/>
  <c r="N5" i="25" s="1"/>
  <c r="M5" i="18"/>
  <c r="M8" i="25"/>
  <c r="E13" i="17"/>
  <c r="I109" i="24"/>
  <c r="I113" i="24"/>
  <c r="L146" i="55"/>
  <c r="I116" i="24"/>
  <c r="I115" i="24"/>
  <c r="O521" i="56"/>
  <c r="O523" i="56" s="1"/>
  <c r="N524" i="56"/>
  <c r="H192" i="24"/>
  <c r="H33" i="24" s="1"/>
  <c r="H40" i="24" s="1"/>
  <c r="H156" i="24"/>
  <c r="H6" i="24" s="1"/>
  <c r="H13" i="24" s="1"/>
  <c r="H11" i="19" s="1"/>
  <c r="I108" i="24"/>
  <c r="L56" i="24"/>
  <c r="K105" i="24"/>
  <c r="K107" i="24" s="1"/>
  <c r="M5" i="17"/>
  <c r="J140" i="24"/>
  <c r="J176" i="24" s="1"/>
  <c r="I114" i="24"/>
  <c r="N4" i="17"/>
  <c r="N5" i="17" s="1"/>
  <c r="N9" i="17"/>
  <c r="N4" i="18" s="1"/>
  <c r="O2" i="17"/>
  <c r="O7" i="17" s="1"/>
  <c r="M2" i="24"/>
  <c r="I12" i="58"/>
  <c r="E7" i="25"/>
  <c r="E37" i="48"/>
  <c r="E7" i="18" s="1"/>
  <c r="G20" i="48"/>
  <c r="L29" i="24"/>
  <c r="I118" i="24"/>
  <c r="G5" i="48"/>
  <c r="G60" i="24"/>
  <c r="G6" i="17" s="1"/>
  <c r="O32" i="48"/>
  <c r="I120" i="24"/>
  <c r="L145" i="55"/>
  <c r="N142" i="55"/>
  <c r="N144" i="55" s="1"/>
  <c r="E10" i="19"/>
  <c r="M146" i="56" l="1"/>
  <c r="M103" i="56"/>
  <c r="M34" i="56"/>
  <c r="N88" i="56"/>
  <c r="N87" i="56"/>
  <c r="N8" i="56"/>
  <c r="N9" i="56"/>
  <c r="N11" i="56"/>
  <c r="N10" i="56"/>
  <c r="N85" i="56"/>
  <c r="N86" i="56"/>
  <c r="N147" i="56" s="1"/>
  <c r="M148" i="56"/>
  <c r="L8" i="55"/>
  <c r="L4" i="55"/>
  <c r="O5" i="58"/>
  <c r="G16" i="58"/>
  <c r="G20" i="58" s="1"/>
  <c r="G22" i="58" s="1"/>
  <c r="G23" i="58"/>
  <c r="Q21" i="58"/>
  <c r="O56" i="53"/>
  <c r="N145" i="56"/>
  <c r="N143" i="56"/>
  <c r="N144" i="56"/>
  <c r="N142" i="56"/>
  <c r="F6" i="25"/>
  <c r="F7" i="25" s="1"/>
  <c r="O11" i="58"/>
  <c r="O7" i="58"/>
  <c r="L62" i="53"/>
  <c r="P2" i="58"/>
  <c r="O10" i="58"/>
  <c r="O36" i="58"/>
  <c r="O18" i="58"/>
  <c r="O19" i="58" s="1"/>
  <c r="O14" i="58"/>
  <c r="O8" i="58"/>
  <c r="O6" i="58"/>
  <c r="N2" i="55"/>
  <c r="O140" i="56"/>
  <c r="L9" i="58"/>
  <c r="M52" i="53"/>
  <c r="F37" i="48"/>
  <c r="F36" i="48"/>
  <c r="J117" i="24"/>
  <c r="J111" i="24"/>
  <c r="J119" i="24"/>
  <c r="J115" i="24"/>
  <c r="F22" i="58"/>
  <c r="N2" i="24"/>
  <c r="J120" i="24"/>
  <c r="G7" i="48"/>
  <c r="G9" i="19" s="1"/>
  <c r="E9" i="18"/>
  <c r="E10" i="18" s="1"/>
  <c r="J112" i="24"/>
  <c r="M146" i="55"/>
  <c r="M6" i="18"/>
  <c r="J118" i="24"/>
  <c r="J110" i="24"/>
  <c r="J113" i="24"/>
  <c r="P32" i="48"/>
  <c r="K140" i="24"/>
  <c r="K176" i="24" s="1"/>
  <c r="P521" i="56"/>
  <c r="P523" i="56" s="1"/>
  <c r="O524" i="56"/>
  <c r="J109" i="24"/>
  <c r="N5" i="18"/>
  <c r="N8" i="25"/>
  <c r="O2" i="25"/>
  <c r="O5" i="25" s="1"/>
  <c r="M29" i="24"/>
  <c r="J114" i="24"/>
  <c r="L105" i="24"/>
  <c r="L107" i="24" s="1"/>
  <c r="M56" i="24"/>
  <c r="J61" i="55"/>
  <c r="O142" i="55"/>
  <c r="O144" i="55" s="1"/>
  <c r="H20" i="48"/>
  <c r="J116" i="24"/>
  <c r="H5" i="48"/>
  <c r="H7" i="48" s="1"/>
  <c r="H60" i="24"/>
  <c r="H6" i="17" s="1"/>
  <c r="H4" i="58"/>
  <c r="H23" i="58" s="1"/>
  <c r="G22" i="48"/>
  <c r="G34" i="48"/>
  <c r="O4" i="17"/>
  <c r="O5" i="17" s="1"/>
  <c r="P2" i="17"/>
  <c r="P7" i="17" s="1"/>
  <c r="O9" i="17"/>
  <c r="O4" i="18" s="1"/>
  <c r="I156" i="24"/>
  <c r="I6" i="24" s="1"/>
  <c r="I13" i="24" s="1"/>
  <c r="I11" i="19" s="1"/>
  <c r="J108" i="24"/>
  <c r="I192" i="24"/>
  <c r="I33" i="24" s="1"/>
  <c r="I40" i="24" s="1"/>
  <c r="E16" i="19"/>
  <c r="M145" i="55"/>
  <c r="G67" i="24"/>
  <c r="K9" i="55"/>
  <c r="K58" i="55"/>
  <c r="K61" i="55" s="1"/>
  <c r="L12" i="58" s="1"/>
  <c r="M8" i="55" l="1"/>
  <c r="M4" i="55"/>
  <c r="M57" i="55" s="1"/>
  <c r="N34" i="56"/>
  <c r="N148" i="56"/>
  <c r="N149" i="56"/>
  <c r="N150" i="56" s="1"/>
  <c r="O13" i="58" s="1"/>
  <c r="O10" i="56"/>
  <c r="O88" i="56"/>
  <c r="O149" i="56" s="1"/>
  <c r="O85" i="56"/>
  <c r="O8" i="56"/>
  <c r="O34" i="56" s="1"/>
  <c r="O87" i="56"/>
  <c r="O148" i="56" s="1"/>
  <c r="O9" i="56"/>
  <c r="O11" i="56"/>
  <c r="O86" i="56"/>
  <c r="O147" i="56" s="1"/>
  <c r="L57" i="55"/>
  <c r="N103" i="56"/>
  <c r="N146" i="56"/>
  <c r="M150" i="56"/>
  <c r="N13" i="58" s="1"/>
  <c r="R21" i="58"/>
  <c r="P56" i="53"/>
  <c r="P5" i="58"/>
  <c r="O145" i="56"/>
  <c r="O143" i="56"/>
  <c r="O144" i="56"/>
  <c r="O142" i="56"/>
  <c r="H9" i="19"/>
  <c r="H10" i="19" s="1"/>
  <c r="F7" i="18"/>
  <c r="F9" i="18" s="1"/>
  <c r="F10" i="18" s="1"/>
  <c r="F12" i="18" s="1"/>
  <c r="M62" i="53"/>
  <c r="P7" i="58"/>
  <c r="P11" i="58"/>
  <c r="O2" i="55"/>
  <c r="P10" i="58"/>
  <c r="P6" i="58"/>
  <c r="Q2" i="58"/>
  <c r="P8" i="58"/>
  <c r="P18" i="58"/>
  <c r="P19" i="58" s="1"/>
  <c r="P36" i="58"/>
  <c r="P14" i="58"/>
  <c r="P140" i="56"/>
  <c r="M9" i="58"/>
  <c r="N52" i="53"/>
  <c r="K111" i="24"/>
  <c r="K112" i="24"/>
  <c r="K113" i="24"/>
  <c r="I5" i="48"/>
  <c r="I7" i="48" s="1"/>
  <c r="I60" i="24"/>
  <c r="I6" i="17" s="1"/>
  <c r="I20" i="48"/>
  <c r="O2" i="24"/>
  <c r="E17" i="19"/>
  <c r="F17" i="19" s="1"/>
  <c r="G10" i="17"/>
  <c r="G11" i="17" s="1"/>
  <c r="G6" i="25"/>
  <c r="G14" i="17"/>
  <c r="H22" i="48"/>
  <c r="H35" i="48" s="1"/>
  <c r="H34" i="48"/>
  <c r="H10" i="25" s="1"/>
  <c r="N6" i="18"/>
  <c r="K115" i="24"/>
  <c r="H16" i="58"/>
  <c r="H20" i="58" s="1"/>
  <c r="P142" i="55"/>
  <c r="P144" i="55" s="1"/>
  <c r="K114" i="24"/>
  <c r="K109" i="24"/>
  <c r="L9" i="55"/>
  <c r="L58" i="55"/>
  <c r="K120" i="24"/>
  <c r="Q2" i="17"/>
  <c r="Q7" i="17" s="1"/>
  <c r="P4" i="17"/>
  <c r="P5" i="17" s="1"/>
  <c r="P9" i="17"/>
  <c r="P4" i="18" s="1"/>
  <c r="I4" i="58"/>
  <c r="I23" i="58" s="1"/>
  <c r="Q32" i="48"/>
  <c r="N146" i="55"/>
  <c r="H15" i="19"/>
  <c r="H67" i="24"/>
  <c r="L140" i="24"/>
  <c r="L176" i="24" s="1"/>
  <c r="P524" i="56"/>
  <c r="Q521" i="56"/>
  <c r="Q523" i="56" s="1"/>
  <c r="G15" i="19"/>
  <c r="J192" i="24"/>
  <c r="J33" i="24" s="1"/>
  <c r="J40" i="24" s="1"/>
  <c r="J156" i="24"/>
  <c r="J6" i="24" s="1"/>
  <c r="J13" i="24" s="1"/>
  <c r="J11" i="19" s="1"/>
  <c r="K108" i="24"/>
  <c r="K12" i="58"/>
  <c r="N29" i="24"/>
  <c r="K110" i="24"/>
  <c r="K119" i="24"/>
  <c r="N145" i="55"/>
  <c r="G10" i="25"/>
  <c r="M105" i="24"/>
  <c r="M107" i="24" s="1"/>
  <c r="N56" i="24"/>
  <c r="P2" i="25"/>
  <c r="P5" i="25" s="1"/>
  <c r="O8" i="25"/>
  <c r="O5" i="18"/>
  <c r="K118" i="24"/>
  <c r="G35" i="48"/>
  <c r="G36" i="48" s="1"/>
  <c r="K116" i="24"/>
  <c r="E12" i="18"/>
  <c r="K117" i="24"/>
  <c r="N8" i="55" l="1"/>
  <c r="N4" i="55"/>
  <c r="O103" i="56"/>
  <c r="O146" i="56"/>
  <c r="P9" i="56"/>
  <c r="P85" i="56"/>
  <c r="P8" i="56"/>
  <c r="P11" i="56"/>
  <c r="P10" i="56"/>
  <c r="P86" i="56"/>
  <c r="P147" i="56" s="1"/>
  <c r="P87" i="56"/>
  <c r="P148" i="56" s="1"/>
  <c r="P88" i="56"/>
  <c r="P149" i="56" s="1"/>
  <c r="Q5" i="58"/>
  <c r="S21" i="58"/>
  <c r="Q56" i="53"/>
  <c r="P145" i="56"/>
  <c r="P143" i="56"/>
  <c r="P144" i="56"/>
  <c r="P142" i="56"/>
  <c r="I9" i="19"/>
  <c r="I10" i="19" s="1"/>
  <c r="H16" i="19"/>
  <c r="Q7" i="58"/>
  <c r="Q11" i="58"/>
  <c r="N62" i="53"/>
  <c r="O150" i="56"/>
  <c r="P13" i="58" s="1"/>
  <c r="Q18" i="58"/>
  <c r="Q19" i="58" s="1"/>
  <c r="Q14" i="58"/>
  <c r="Q6" i="58"/>
  <c r="Q36" i="58"/>
  <c r="Q8" i="58"/>
  <c r="Q10" i="58"/>
  <c r="R2" i="58"/>
  <c r="P2" i="55"/>
  <c r="Q140" i="56"/>
  <c r="N9" i="58"/>
  <c r="O52" i="53"/>
  <c r="H36" i="48"/>
  <c r="L112" i="24"/>
  <c r="L119" i="24"/>
  <c r="L117" i="24"/>
  <c r="L116" i="24"/>
  <c r="J5" i="48"/>
  <c r="J60" i="24"/>
  <c r="J6" i="17" s="1"/>
  <c r="O145" i="55"/>
  <c r="J20" i="48"/>
  <c r="Q524" i="56"/>
  <c r="R521" i="56"/>
  <c r="R523" i="56" s="1"/>
  <c r="Q9" i="17"/>
  <c r="Q4" i="18" s="1"/>
  <c r="Q4" i="17"/>
  <c r="Q5" i="17" s="1"/>
  <c r="R2" i="17"/>
  <c r="R7" i="17" s="1"/>
  <c r="G13" i="17"/>
  <c r="R32" i="48"/>
  <c r="I22" i="48"/>
  <c r="I35" i="48" s="1"/>
  <c r="I34" i="48"/>
  <c r="I10" i="25" s="1"/>
  <c r="P8" i="25"/>
  <c r="P5" i="18"/>
  <c r="Q2" i="25"/>
  <c r="Q5" i="25" s="1"/>
  <c r="L110" i="24"/>
  <c r="K156" i="24"/>
  <c r="K6" i="24" s="1"/>
  <c r="K13" i="24" s="1"/>
  <c r="K11" i="19" s="1"/>
  <c r="L108" i="24"/>
  <c r="K192" i="24"/>
  <c r="K33" i="24" s="1"/>
  <c r="K40" i="24" s="1"/>
  <c r="H6" i="25"/>
  <c r="H7" i="25" s="1"/>
  <c r="H10" i="17"/>
  <c r="H11" i="17" s="1"/>
  <c r="H13" i="17" s="1"/>
  <c r="H14" i="17"/>
  <c r="L120" i="24"/>
  <c r="L111" i="24"/>
  <c r="G37" i="48"/>
  <c r="G7" i="18" s="1"/>
  <c r="N105" i="24"/>
  <c r="N107" i="24" s="1"/>
  <c r="O56" i="24"/>
  <c r="I16" i="58"/>
  <c r="I20" i="58" s="1"/>
  <c r="I22" i="58" s="1"/>
  <c r="H22" i="58"/>
  <c r="M140" i="24"/>
  <c r="M176" i="24" s="1"/>
  <c r="O29" i="24"/>
  <c r="I67" i="24"/>
  <c r="L61" i="55"/>
  <c r="H37" i="48"/>
  <c r="P2" i="24"/>
  <c r="O146" i="55"/>
  <c r="L109" i="24"/>
  <c r="L115" i="24"/>
  <c r="L113" i="24"/>
  <c r="J4" i="58"/>
  <c r="J23" i="58" s="1"/>
  <c r="L118" i="24"/>
  <c r="M58" i="55"/>
  <c r="M61" i="55" s="1"/>
  <c r="N12" i="58" s="1"/>
  <c r="M9" i="55"/>
  <c r="L114" i="24"/>
  <c r="O6" i="18"/>
  <c r="Q142" i="55"/>
  <c r="Q144" i="55" s="1"/>
  <c r="G10" i="19"/>
  <c r="G7" i="25"/>
  <c r="P34" i="56" l="1"/>
  <c r="P146" i="56"/>
  <c r="P103" i="56"/>
  <c r="N57" i="55"/>
  <c r="O8" i="55"/>
  <c r="O4" i="55"/>
  <c r="O57" i="55" s="1"/>
  <c r="Q9" i="56"/>
  <c r="Q88" i="56"/>
  <c r="Q87" i="56"/>
  <c r="Q85" i="56"/>
  <c r="Q8" i="56"/>
  <c r="Q11" i="56"/>
  <c r="Q10" i="56"/>
  <c r="Q86" i="56"/>
  <c r="Q147" i="56" s="1"/>
  <c r="R5" i="58"/>
  <c r="T21" i="58"/>
  <c r="R56" i="53"/>
  <c r="Q145" i="56"/>
  <c r="Q144" i="56"/>
  <c r="Q143" i="56"/>
  <c r="Q142" i="56"/>
  <c r="H7" i="18"/>
  <c r="H9" i="18" s="1"/>
  <c r="H10" i="18" s="1"/>
  <c r="H12" i="18" s="1"/>
  <c r="P150" i="56"/>
  <c r="Q13" i="58" s="1"/>
  <c r="O62" i="53"/>
  <c r="R7" i="58"/>
  <c r="R11" i="58"/>
  <c r="R18" i="58"/>
  <c r="R19" i="58" s="1"/>
  <c r="R8" i="58"/>
  <c r="S2" i="58"/>
  <c r="R6" i="58"/>
  <c r="R36" i="58"/>
  <c r="R14" i="58"/>
  <c r="R10" i="58"/>
  <c r="Q2" i="55"/>
  <c r="R140" i="56"/>
  <c r="O9" i="58"/>
  <c r="P52" i="53"/>
  <c r="I36" i="48"/>
  <c r="M112" i="24"/>
  <c r="M118" i="24"/>
  <c r="M116" i="24"/>
  <c r="M109" i="24"/>
  <c r="M111" i="24"/>
  <c r="M120" i="24"/>
  <c r="M115" i="24"/>
  <c r="K5" i="48"/>
  <c r="K7" i="48" s="1"/>
  <c r="K60" i="24"/>
  <c r="K6" i="17" s="1"/>
  <c r="R142" i="55"/>
  <c r="R144" i="55" s="1"/>
  <c r="G9" i="18"/>
  <c r="G10" i="18" s="1"/>
  <c r="L156" i="24"/>
  <c r="L6" i="24" s="1"/>
  <c r="L13" i="24" s="1"/>
  <c r="L11" i="19" s="1"/>
  <c r="M108" i="24"/>
  <c r="L192" i="24"/>
  <c r="L33" i="24" s="1"/>
  <c r="L40" i="24" s="1"/>
  <c r="G16" i="19"/>
  <c r="N9" i="55"/>
  <c r="N58" i="55"/>
  <c r="N61" i="55" s="1"/>
  <c r="O12" i="58" s="1"/>
  <c r="M12" i="58"/>
  <c r="M110" i="24"/>
  <c r="I37" i="48"/>
  <c r="S521" i="56"/>
  <c r="S523" i="56" s="1"/>
  <c r="R524" i="56"/>
  <c r="P146" i="55"/>
  <c r="Q8" i="25"/>
  <c r="Q5" i="18"/>
  <c r="R2" i="25"/>
  <c r="R5" i="25" s="1"/>
  <c r="S32" i="48"/>
  <c r="J15" i="19"/>
  <c r="J67" i="24"/>
  <c r="Q2" i="24"/>
  <c r="I15" i="19"/>
  <c r="P6" i="18"/>
  <c r="J22" i="48"/>
  <c r="J34" i="48"/>
  <c r="J7" i="48"/>
  <c r="J9" i="19" s="1"/>
  <c r="P29" i="24"/>
  <c r="P56" i="24"/>
  <c r="O105" i="24"/>
  <c r="O107" i="24" s="1"/>
  <c r="I6" i="25"/>
  <c r="I10" i="17"/>
  <c r="I11" i="17" s="1"/>
  <c r="I14" i="17"/>
  <c r="N140" i="24"/>
  <c r="N176" i="24" s="1"/>
  <c r="K20" i="48"/>
  <c r="R4" i="17"/>
  <c r="R5" i="17" s="1"/>
  <c r="S2" i="17"/>
  <c r="S7" i="17" s="1"/>
  <c r="K4" i="58"/>
  <c r="K23" i="58" s="1"/>
  <c r="J16" i="58"/>
  <c r="J20" i="58" s="1"/>
  <c r="J22" i="58" s="1"/>
  <c r="M117" i="24"/>
  <c r="M114" i="24"/>
  <c r="M113" i="24"/>
  <c r="M119" i="24"/>
  <c r="P145" i="55"/>
  <c r="Q34" i="56" l="1"/>
  <c r="Q146" i="56"/>
  <c r="Q103" i="56"/>
  <c r="Q148" i="56"/>
  <c r="Q149" i="56"/>
  <c r="P8" i="55"/>
  <c r="P4" i="55"/>
  <c r="P57" i="55" s="1"/>
  <c r="R87" i="56"/>
  <c r="R85" i="56"/>
  <c r="R88" i="56"/>
  <c r="R9" i="56"/>
  <c r="R8" i="56"/>
  <c r="R11" i="56"/>
  <c r="R10" i="56"/>
  <c r="R86" i="56"/>
  <c r="R147" i="56" s="1"/>
  <c r="S5" i="58"/>
  <c r="F43" i="58"/>
  <c r="S56" i="53"/>
  <c r="R145" i="56"/>
  <c r="R144" i="56"/>
  <c r="R143" i="56"/>
  <c r="R142" i="56"/>
  <c r="I7" i="18"/>
  <c r="I9" i="18" s="1"/>
  <c r="I10" i="18" s="1"/>
  <c r="I12" i="18" s="1"/>
  <c r="K9" i="19"/>
  <c r="K10" i="19" s="1"/>
  <c r="P62" i="53"/>
  <c r="S11" i="58"/>
  <c r="S7" i="58"/>
  <c r="Q150" i="56"/>
  <c r="R13" i="58" s="1"/>
  <c r="S14" i="58"/>
  <c r="S6" i="58"/>
  <c r="S36" i="58"/>
  <c r="S8" i="58"/>
  <c r="T2" i="58"/>
  <c r="S10" i="58"/>
  <c r="R2" i="55"/>
  <c r="S140" i="56"/>
  <c r="P9" i="58"/>
  <c r="Q52" i="53"/>
  <c r="N115" i="24"/>
  <c r="N110" i="24"/>
  <c r="N120" i="24"/>
  <c r="N117" i="24"/>
  <c r="N116" i="24"/>
  <c r="N109" i="24"/>
  <c r="N112" i="24"/>
  <c r="N119" i="24"/>
  <c r="N111" i="24"/>
  <c r="N113" i="24"/>
  <c r="N118" i="24"/>
  <c r="N114" i="24"/>
  <c r="L20" i="48"/>
  <c r="L5" i="48"/>
  <c r="L60" i="24"/>
  <c r="L6" i="17" s="1"/>
  <c r="S524" i="56"/>
  <c r="E526" i="56"/>
  <c r="E528" i="56" s="1"/>
  <c r="Q29" i="24"/>
  <c r="E39" i="48"/>
  <c r="M192" i="24"/>
  <c r="M33" i="24" s="1"/>
  <c r="M40" i="24" s="1"/>
  <c r="N108" i="24"/>
  <c r="M156" i="24"/>
  <c r="M6" i="24" s="1"/>
  <c r="M13" i="24" s="1"/>
  <c r="M11" i="19" s="1"/>
  <c r="I13" i="17"/>
  <c r="S142" i="55"/>
  <c r="S144" i="55" s="1"/>
  <c r="J6" i="25"/>
  <c r="J7" i="25" s="1"/>
  <c r="J10" i="17"/>
  <c r="J11" i="17" s="1"/>
  <c r="J14" i="17"/>
  <c r="K16" i="58"/>
  <c r="K20" i="58" s="1"/>
  <c r="K22" i="58" s="1"/>
  <c r="S2" i="25"/>
  <c r="S5" i="25" s="1"/>
  <c r="R5" i="18"/>
  <c r="Q146" i="55"/>
  <c r="Q145" i="55"/>
  <c r="O140" i="24"/>
  <c r="O176" i="24" s="1"/>
  <c r="O58" i="55"/>
  <c r="O61" i="55" s="1"/>
  <c r="O9" i="55"/>
  <c r="G12" i="18"/>
  <c r="K67" i="24"/>
  <c r="I7" i="25"/>
  <c r="I16" i="19"/>
  <c r="G17" i="19"/>
  <c r="H17" i="19" s="1"/>
  <c r="R2" i="24"/>
  <c r="K22" i="48"/>
  <c r="K35" i="48" s="1"/>
  <c r="K34" i="48"/>
  <c r="K10" i="25" s="1"/>
  <c r="J10" i="25"/>
  <c r="L4" i="58"/>
  <c r="L23" i="58" s="1"/>
  <c r="E15" i="17"/>
  <c r="E20" i="17" s="1"/>
  <c r="S4" i="17"/>
  <c r="J35" i="48"/>
  <c r="J36" i="48" s="1"/>
  <c r="Q6" i="18"/>
  <c r="Q56" i="24"/>
  <c r="P105" i="24"/>
  <c r="P107" i="24" s="1"/>
  <c r="R34" i="56" l="1"/>
  <c r="R149" i="56"/>
  <c r="R146" i="56"/>
  <c r="R103" i="56"/>
  <c r="R148" i="56"/>
  <c r="S8" i="56"/>
  <c r="S10" i="56"/>
  <c r="S88" i="56"/>
  <c r="S85" i="56"/>
  <c r="S9" i="56"/>
  <c r="S11" i="56"/>
  <c r="S86" i="56"/>
  <c r="S87" i="56"/>
  <c r="Q8" i="55"/>
  <c r="Q4" i="55"/>
  <c r="Q57" i="55" s="1"/>
  <c r="T5" i="58"/>
  <c r="G43" i="58"/>
  <c r="E68" i="53"/>
  <c r="S145" i="56"/>
  <c r="S143" i="56"/>
  <c r="S144" i="56"/>
  <c r="S142" i="56"/>
  <c r="R150" i="56"/>
  <c r="S13" i="58" s="1"/>
  <c r="T7" i="58"/>
  <c r="T11" i="58"/>
  <c r="Q62" i="53"/>
  <c r="T36" i="58"/>
  <c r="T10" i="58"/>
  <c r="T6" i="58"/>
  <c r="F24" i="58"/>
  <c r="T8" i="58"/>
  <c r="T14" i="58"/>
  <c r="S2" i="55"/>
  <c r="E152" i="56"/>
  <c r="Q9" i="58"/>
  <c r="R52" i="53"/>
  <c r="K36" i="48"/>
  <c r="O111" i="24"/>
  <c r="O112" i="24"/>
  <c r="O119" i="24"/>
  <c r="O114" i="24"/>
  <c r="O120" i="24"/>
  <c r="O118" i="24"/>
  <c r="O115" i="24"/>
  <c r="O110" i="24"/>
  <c r="O113" i="24"/>
  <c r="O117" i="24"/>
  <c r="M5" i="48"/>
  <c r="M7" i="48" s="1"/>
  <c r="M60" i="24"/>
  <c r="M6" i="17" s="1"/>
  <c r="M20" i="48"/>
  <c r="P58" i="55"/>
  <c r="P61" i="55" s="1"/>
  <c r="Q12" i="58" s="1"/>
  <c r="P9" i="55"/>
  <c r="L15" i="19"/>
  <c r="L67" i="24"/>
  <c r="Q105" i="24"/>
  <c r="Q107" i="24" s="1"/>
  <c r="R56" i="24"/>
  <c r="P12" i="58"/>
  <c r="R146" i="55"/>
  <c r="F39" i="48"/>
  <c r="M4" i="58"/>
  <c r="M23" i="58" s="1"/>
  <c r="E148" i="55"/>
  <c r="E150" i="55" s="1"/>
  <c r="L7" i="48"/>
  <c r="L9" i="19" s="1"/>
  <c r="S5" i="17"/>
  <c r="R29" i="24"/>
  <c r="J10" i="19"/>
  <c r="N192" i="24"/>
  <c r="N33" i="24" s="1"/>
  <c r="N40" i="24" s="1"/>
  <c r="O108" i="24"/>
  <c r="N156" i="24"/>
  <c r="N6" i="24" s="1"/>
  <c r="N13" i="24" s="1"/>
  <c r="N11" i="19" s="1"/>
  <c r="F526" i="56"/>
  <c r="F528" i="56" s="1"/>
  <c r="E529" i="56"/>
  <c r="L16" i="58"/>
  <c r="L20" i="58" s="1"/>
  <c r="I17" i="19"/>
  <c r="P140" i="24"/>
  <c r="P176" i="24" s="1"/>
  <c r="F15" i="17"/>
  <c r="F20" i="17" s="1"/>
  <c r="E22" i="17"/>
  <c r="E16" i="18" s="1"/>
  <c r="E17" i="17"/>
  <c r="E18" i="17" s="1"/>
  <c r="K15" i="19"/>
  <c r="K16" i="19" s="1"/>
  <c r="K6" i="25"/>
  <c r="K10" i="17"/>
  <c r="K11" i="17" s="1"/>
  <c r="K14" i="17"/>
  <c r="K37" i="48"/>
  <c r="R145" i="55"/>
  <c r="E12" i="25"/>
  <c r="E15" i="25" s="1"/>
  <c r="S5" i="18"/>
  <c r="J37" i="48"/>
  <c r="J7" i="18" s="1"/>
  <c r="J13" i="17"/>
  <c r="O109" i="24"/>
  <c r="O116" i="24"/>
  <c r="S2" i="24"/>
  <c r="L22" i="48"/>
  <c r="L34" i="48"/>
  <c r="L10" i="25" s="1"/>
  <c r="S147" i="56" l="1"/>
  <c r="S148" i="56"/>
  <c r="R8" i="55"/>
  <c r="R4" i="55"/>
  <c r="R57" i="55" s="1"/>
  <c r="S146" i="56"/>
  <c r="S103" i="56"/>
  <c r="S149" i="56"/>
  <c r="E42" i="56"/>
  <c r="E45" i="56"/>
  <c r="E119" i="56"/>
  <c r="E44" i="56"/>
  <c r="E43" i="56"/>
  <c r="E121" i="56"/>
  <c r="E160" i="56" s="1"/>
  <c r="E120" i="56"/>
  <c r="E122" i="56"/>
  <c r="S34" i="56"/>
  <c r="H43" i="58"/>
  <c r="F68" i="53"/>
  <c r="F27" i="58"/>
  <c r="E156" i="56"/>
  <c r="E157" i="56"/>
  <c r="E155" i="56"/>
  <c r="E154" i="56"/>
  <c r="M9" i="19"/>
  <c r="M10" i="19" s="1"/>
  <c r="K7" i="18"/>
  <c r="K9" i="18" s="1"/>
  <c r="K10" i="18" s="1"/>
  <c r="K12" i="18" s="1"/>
  <c r="F29" i="58"/>
  <c r="F33" i="58"/>
  <c r="R62" i="53"/>
  <c r="D14" i="58"/>
  <c r="F32" i="58"/>
  <c r="F30" i="58"/>
  <c r="G24" i="58"/>
  <c r="F40" i="58"/>
  <c r="F41" i="58" s="1"/>
  <c r="F28" i="58"/>
  <c r="E11" i="55"/>
  <c r="F152" i="56"/>
  <c r="R9" i="58"/>
  <c r="S52" i="53"/>
  <c r="P113" i="24"/>
  <c r="P116" i="24"/>
  <c r="P114" i="24"/>
  <c r="P109" i="24"/>
  <c r="P110" i="24"/>
  <c r="P117" i="24"/>
  <c r="L35" i="48"/>
  <c r="L36" i="48" s="1"/>
  <c r="P119" i="24"/>
  <c r="P115" i="24"/>
  <c r="J16" i="19"/>
  <c r="N20" i="48"/>
  <c r="F148" i="55"/>
  <c r="F150" i="55" s="1"/>
  <c r="L6" i="25"/>
  <c r="L7" i="25" s="1"/>
  <c r="L10" i="17"/>
  <c r="L11" i="17" s="1"/>
  <c r="L13" i="17" s="1"/>
  <c r="L14" i="17"/>
  <c r="R105" i="24"/>
  <c r="R107" i="24" s="1"/>
  <c r="S56" i="24"/>
  <c r="P111" i="24"/>
  <c r="S29" i="24"/>
  <c r="M16" i="58"/>
  <c r="M20" i="58" s="1"/>
  <c r="M22" i="58" s="1"/>
  <c r="S146" i="55"/>
  <c r="E15" i="24"/>
  <c r="S145" i="55"/>
  <c r="K13" i="17"/>
  <c r="Q58" i="55"/>
  <c r="Q61" i="55" s="1"/>
  <c r="R12" i="58" s="1"/>
  <c r="Q9" i="55"/>
  <c r="M22" i="48"/>
  <c r="M35" i="48" s="1"/>
  <c r="M34" i="48"/>
  <c r="M10" i="25" s="1"/>
  <c r="K7" i="25"/>
  <c r="L22" i="58"/>
  <c r="P112" i="24"/>
  <c r="P118" i="24"/>
  <c r="N4" i="58"/>
  <c r="N23" i="58" s="1"/>
  <c r="E17" i="18"/>
  <c r="F12" i="25"/>
  <c r="F15" i="25" s="1"/>
  <c r="E18" i="25"/>
  <c r="N5" i="48"/>
  <c r="N7" i="48" s="1"/>
  <c r="N60" i="24"/>
  <c r="N6" i="17" s="1"/>
  <c r="Q140" i="24"/>
  <c r="Q176" i="24" s="1"/>
  <c r="O192" i="24"/>
  <c r="O33" i="24" s="1"/>
  <c r="O40" i="24" s="1"/>
  <c r="O156" i="24"/>
  <c r="O6" i="24" s="1"/>
  <c r="O13" i="24" s="1"/>
  <c r="O11" i="19" s="1"/>
  <c r="P108" i="24"/>
  <c r="G39" i="48"/>
  <c r="M15" i="19"/>
  <c r="M67" i="24"/>
  <c r="J9" i="18"/>
  <c r="J10" i="18" s="1"/>
  <c r="G15" i="17"/>
  <c r="G20" i="17" s="1"/>
  <c r="F22" i="17"/>
  <c r="F16" i="18" s="1"/>
  <c r="F17" i="17"/>
  <c r="F529" i="56"/>
  <c r="G526" i="56"/>
  <c r="G528" i="56" s="1"/>
  <c r="P120" i="24"/>
  <c r="E68" i="56" l="1"/>
  <c r="E161" i="56"/>
  <c r="E159" i="56"/>
  <c r="S8" i="55"/>
  <c r="S4" i="55"/>
  <c r="S150" i="56"/>
  <c r="T13" i="58" s="1"/>
  <c r="F43" i="56"/>
  <c r="F120" i="56"/>
  <c r="F159" i="56" s="1"/>
  <c r="F119" i="56"/>
  <c r="F45" i="56"/>
  <c r="F44" i="56"/>
  <c r="F42" i="56"/>
  <c r="F68" i="56" s="1"/>
  <c r="F122" i="56"/>
  <c r="F161" i="56" s="1"/>
  <c r="F121" i="56"/>
  <c r="F160" i="56" s="1"/>
  <c r="E158" i="56"/>
  <c r="E137" i="56"/>
  <c r="G27" i="58"/>
  <c r="I43" i="58"/>
  <c r="G68" i="53"/>
  <c r="F156" i="56"/>
  <c r="F157" i="56"/>
  <c r="F155" i="56"/>
  <c r="F154" i="56"/>
  <c r="M16" i="19"/>
  <c r="N9" i="19"/>
  <c r="N10" i="19" s="1"/>
  <c r="S62" i="53"/>
  <c r="G29" i="58"/>
  <c r="G33" i="58"/>
  <c r="Q113" i="24"/>
  <c r="F11" i="55"/>
  <c r="G40" i="58"/>
  <c r="G41" i="58" s="1"/>
  <c r="H24" i="58"/>
  <c r="H27" i="58" s="1"/>
  <c r="G30" i="58"/>
  <c r="G32" i="58"/>
  <c r="G28" i="58"/>
  <c r="G152" i="56"/>
  <c r="S9" i="58"/>
  <c r="E64" i="53"/>
  <c r="M36" i="48"/>
  <c r="Q120" i="24"/>
  <c r="Q112" i="24"/>
  <c r="Q109" i="24"/>
  <c r="Q115" i="24"/>
  <c r="Q110" i="24"/>
  <c r="L37" i="48"/>
  <c r="O20" i="48"/>
  <c r="Q114" i="24"/>
  <c r="J17" i="19"/>
  <c r="K17" i="19" s="1"/>
  <c r="G529" i="56"/>
  <c r="H526" i="56"/>
  <c r="H528" i="56" s="1"/>
  <c r="H39" i="48"/>
  <c r="Q116" i="24"/>
  <c r="E42" i="24"/>
  <c r="Q119" i="24"/>
  <c r="J12" i="18"/>
  <c r="F18" i="25"/>
  <c r="F17" i="18"/>
  <c r="G12" i="25"/>
  <c r="G15" i="25" s="1"/>
  <c r="E151" i="55"/>
  <c r="Q117" i="24"/>
  <c r="O5" i="48"/>
  <c r="O7" i="48" s="1"/>
  <c r="O60" i="24"/>
  <c r="O6" i="17" s="1"/>
  <c r="R58" i="55"/>
  <c r="R61" i="55" s="1"/>
  <c r="S12" i="58" s="1"/>
  <c r="R9" i="55"/>
  <c r="E69" i="24"/>
  <c r="S105" i="24"/>
  <c r="S107" i="24" s="1"/>
  <c r="P192" i="24"/>
  <c r="P33" i="24" s="1"/>
  <c r="P40" i="24" s="1"/>
  <c r="P156" i="24"/>
  <c r="P6" i="24" s="1"/>
  <c r="P13" i="24" s="1"/>
  <c r="P11" i="19" s="1"/>
  <c r="Q108" i="24"/>
  <c r="N15" i="19"/>
  <c r="N67" i="24"/>
  <c r="N16" i="58"/>
  <c r="N20" i="58" s="1"/>
  <c r="N22" i="58" s="1"/>
  <c r="E152" i="55"/>
  <c r="R140" i="24"/>
  <c r="R176" i="24" s="1"/>
  <c r="N22" i="48"/>
  <c r="N35" i="48" s="1"/>
  <c r="N34" i="48"/>
  <c r="N10" i="25" s="1"/>
  <c r="L10" i="19"/>
  <c r="F18" i="17"/>
  <c r="E18" i="18"/>
  <c r="M37" i="48"/>
  <c r="F15" i="24"/>
  <c r="Q111" i="24"/>
  <c r="G148" i="55"/>
  <c r="G150" i="55" s="1"/>
  <c r="H15" i="17"/>
  <c r="H20" i="17" s="1"/>
  <c r="G22" i="17"/>
  <c r="G16" i="18" s="1"/>
  <c r="G17" i="17"/>
  <c r="G18" i="17" s="1"/>
  <c r="M6" i="25"/>
  <c r="M10" i="17"/>
  <c r="M11" i="17" s="1"/>
  <c r="M13" i="17" s="1"/>
  <c r="M14" i="17"/>
  <c r="O4" i="58"/>
  <c r="O23" i="58" s="1"/>
  <c r="Q118" i="24"/>
  <c r="G119" i="56" l="1"/>
  <c r="G121" i="56"/>
  <c r="G120" i="56"/>
  <c r="G45" i="56"/>
  <c r="G43" i="56"/>
  <c r="G42" i="56"/>
  <c r="G68" i="56" s="1"/>
  <c r="G122" i="56"/>
  <c r="G161" i="56" s="1"/>
  <c r="G44" i="56"/>
  <c r="S57" i="55"/>
  <c r="E162" i="56"/>
  <c r="F35" i="58" s="1"/>
  <c r="E17" i="55"/>
  <c r="E13" i="55"/>
  <c r="E65" i="55" s="1"/>
  <c r="F158" i="56"/>
  <c r="F137" i="56"/>
  <c r="J43" i="58"/>
  <c r="H68" i="53"/>
  <c r="G156" i="56"/>
  <c r="G157" i="56"/>
  <c r="G155" i="56"/>
  <c r="G154" i="56"/>
  <c r="M7" i="18"/>
  <c r="M9" i="18" s="1"/>
  <c r="M10" i="18" s="1"/>
  <c r="M12" i="18" s="1"/>
  <c r="N16" i="19"/>
  <c r="O9" i="19"/>
  <c r="O10" i="19" s="1"/>
  <c r="L7" i="18"/>
  <c r="L9" i="18" s="1"/>
  <c r="L10" i="18" s="1"/>
  <c r="L12" i="18" s="1"/>
  <c r="F162" i="56"/>
  <c r="G35" i="58" s="1"/>
  <c r="H29" i="58"/>
  <c r="H33" i="58"/>
  <c r="E74" i="53"/>
  <c r="H40" i="58"/>
  <c r="H41" i="58" s="1"/>
  <c r="I24" i="58"/>
  <c r="I27" i="58" s="1"/>
  <c r="H32" i="58"/>
  <c r="H30" i="58"/>
  <c r="H28" i="58"/>
  <c r="G11" i="55"/>
  <c r="H152" i="56"/>
  <c r="R120" i="24"/>
  <c r="T9" i="58"/>
  <c r="F64" i="53"/>
  <c r="N36" i="48"/>
  <c r="R118" i="24"/>
  <c r="R114" i="24"/>
  <c r="R110" i="24"/>
  <c r="R109" i="24"/>
  <c r="R113" i="24"/>
  <c r="R117" i="24"/>
  <c r="R111" i="24"/>
  <c r="P20" i="48"/>
  <c r="P5" i="48"/>
  <c r="P7" i="48" s="1"/>
  <c r="P60" i="24"/>
  <c r="P6" i="17" s="1"/>
  <c r="G17" i="18"/>
  <c r="G18" i="25"/>
  <c r="H12" i="25"/>
  <c r="H15" i="25" s="1"/>
  <c r="Q156" i="24"/>
  <c r="Q6" i="24" s="1"/>
  <c r="Q13" i="24" s="1"/>
  <c r="Q11" i="19" s="1"/>
  <c r="R108" i="24"/>
  <c r="Q192" i="24"/>
  <c r="Q33" i="24" s="1"/>
  <c r="Q40" i="24" s="1"/>
  <c r="P4" i="58"/>
  <c r="P23" i="58" s="1"/>
  <c r="F18" i="18"/>
  <c r="F42" i="24"/>
  <c r="H22" i="17"/>
  <c r="H16" i="18" s="1"/>
  <c r="H17" i="17"/>
  <c r="I15" i="17"/>
  <c r="I20" i="17" s="1"/>
  <c r="O15" i="19"/>
  <c r="O67" i="24"/>
  <c r="R116" i="24"/>
  <c r="L16" i="19"/>
  <c r="M7" i="25"/>
  <c r="S140" i="24"/>
  <c r="S176" i="24" s="1"/>
  <c r="R112" i="24"/>
  <c r="N6" i="25"/>
  <c r="N7" i="25" s="1"/>
  <c r="N10" i="17"/>
  <c r="N11" i="17" s="1"/>
  <c r="N13" i="17" s="1"/>
  <c r="N14" i="17"/>
  <c r="G15" i="24"/>
  <c r="F69" i="24"/>
  <c r="E122" i="24"/>
  <c r="E124" i="24" s="1"/>
  <c r="R119" i="24"/>
  <c r="S9" i="55"/>
  <c r="S58" i="55"/>
  <c r="H148" i="55"/>
  <c r="H150" i="55" s="1"/>
  <c r="N37" i="48"/>
  <c r="I39" i="48"/>
  <c r="F151" i="55"/>
  <c r="O16" i="58"/>
  <c r="O20" i="58" s="1"/>
  <c r="O22" i="58" s="1"/>
  <c r="F152" i="55"/>
  <c r="R115" i="24"/>
  <c r="H529" i="56"/>
  <c r="I526" i="56"/>
  <c r="I528" i="56" s="1"/>
  <c r="O22" i="48"/>
  <c r="O35" i="48" s="1"/>
  <c r="O34" i="48"/>
  <c r="O10" i="25" s="1"/>
  <c r="F17" i="55" l="1"/>
  <c r="F13" i="55"/>
  <c r="H45" i="56"/>
  <c r="H119" i="56"/>
  <c r="H120" i="56"/>
  <c r="H122" i="56"/>
  <c r="H161" i="56" s="1"/>
  <c r="H121" i="56"/>
  <c r="H160" i="56" s="1"/>
  <c r="H44" i="56"/>
  <c r="H43" i="56"/>
  <c r="H42" i="56"/>
  <c r="H68" i="56" s="1"/>
  <c r="G159" i="56"/>
  <c r="G160" i="56"/>
  <c r="G158" i="56"/>
  <c r="G162" i="56" s="1"/>
  <c r="H35" i="58" s="1"/>
  <c r="G137" i="56"/>
  <c r="K43" i="58"/>
  <c r="I68" i="53"/>
  <c r="H156" i="56"/>
  <c r="H157" i="56"/>
  <c r="H155" i="56"/>
  <c r="H154" i="56"/>
  <c r="P9" i="19"/>
  <c r="P10" i="19" s="1"/>
  <c r="O16" i="19"/>
  <c r="N7" i="18"/>
  <c r="N9" i="18" s="1"/>
  <c r="N10" i="18" s="1"/>
  <c r="N12" i="18" s="1"/>
  <c r="F74" i="53"/>
  <c r="I29" i="58"/>
  <c r="I33" i="58"/>
  <c r="H11" i="55"/>
  <c r="I40" i="58"/>
  <c r="I41" i="58" s="1"/>
  <c r="J24" i="58"/>
  <c r="I32" i="58"/>
  <c r="I30" i="58"/>
  <c r="I28" i="58"/>
  <c r="I152" i="56"/>
  <c r="F31" i="58"/>
  <c r="G64" i="53"/>
  <c r="O36" i="48"/>
  <c r="S115" i="24"/>
  <c r="S113" i="24"/>
  <c r="S119" i="24"/>
  <c r="S116" i="24"/>
  <c r="S114" i="24"/>
  <c r="Q20" i="48"/>
  <c r="O6" i="25"/>
  <c r="O7" i="25" s="1"/>
  <c r="O10" i="17"/>
  <c r="O11" i="17" s="1"/>
  <c r="O13" i="17" s="1"/>
  <c r="O14" i="17"/>
  <c r="O37" i="48"/>
  <c r="S61" i="55"/>
  <c r="H15" i="24"/>
  <c r="S110" i="24"/>
  <c r="P16" i="58"/>
  <c r="P20" i="58" s="1"/>
  <c r="P22" i="58" s="1"/>
  <c r="H17" i="18"/>
  <c r="H18" i="25"/>
  <c r="I12" i="25"/>
  <c r="I15" i="25" s="1"/>
  <c r="I529" i="56"/>
  <c r="J526" i="56"/>
  <c r="J528" i="56" s="1"/>
  <c r="S117" i="24"/>
  <c r="Q5" i="48"/>
  <c r="Q7" i="48" s="1"/>
  <c r="Q60" i="24"/>
  <c r="Q6" i="17" s="1"/>
  <c r="P22" i="48"/>
  <c r="P35" i="48" s="1"/>
  <c r="P34" i="48"/>
  <c r="P10" i="25" s="1"/>
  <c r="G42" i="24"/>
  <c r="E158" i="24"/>
  <c r="E194" i="24" s="1"/>
  <c r="S111" i="24"/>
  <c r="J15" i="17"/>
  <c r="J20" i="17" s="1"/>
  <c r="I22" i="17"/>
  <c r="I17" i="17"/>
  <c r="I18" i="17" s="1"/>
  <c r="R192" i="24"/>
  <c r="R33" i="24" s="1"/>
  <c r="R40" i="24" s="1"/>
  <c r="S108" i="24"/>
  <c r="R156" i="24"/>
  <c r="R6" i="24" s="1"/>
  <c r="R13" i="24" s="1"/>
  <c r="R11" i="19" s="1"/>
  <c r="S109" i="24"/>
  <c r="E18" i="55"/>
  <c r="E66" i="55"/>
  <c r="E69" i="55" s="1"/>
  <c r="F34" i="58" s="1"/>
  <c r="G151" i="55"/>
  <c r="I148" i="55"/>
  <c r="I150" i="55" s="1"/>
  <c r="G69" i="24"/>
  <c r="F122" i="24"/>
  <c r="F124" i="24" s="1"/>
  <c r="S112" i="24"/>
  <c r="S118" i="24"/>
  <c r="L17" i="19"/>
  <c r="M17" i="19" s="1"/>
  <c r="N17" i="19" s="1"/>
  <c r="H18" i="17"/>
  <c r="Q4" i="58"/>
  <c r="Q23" i="58" s="1"/>
  <c r="S120" i="24"/>
  <c r="G152" i="55"/>
  <c r="J39" i="48"/>
  <c r="P15" i="19"/>
  <c r="P67" i="24"/>
  <c r="H159" i="56" l="1"/>
  <c r="H158" i="56"/>
  <c r="H137" i="56"/>
  <c r="G17" i="55"/>
  <c r="G13" i="55"/>
  <c r="G65" i="55" s="1"/>
  <c r="F65" i="55"/>
  <c r="I42" i="56"/>
  <c r="I68" i="56" s="1"/>
  <c r="I119" i="56"/>
  <c r="I120" i="56"/>
  <c r="I159" i="56" s="1"/>
  <c r="I121" i="56"/>
  <c r="I160" i="56" s="1"/>
  <c r="I122" i="56"/>
  <c r="I161" i="56" s="1"/>
  <c r="I45" i="56"/>
  <c r="I44" i="56"/>
  <c r="I43" i="56"/>
  <c r="J27" i="58"/>
  <c r="L43" i="58"/>
  <c r="J68" i="53"/>
  <c r="O17" i="19"/>
  <c r="I156" i="56"/>
  <c r="I157" i="56"/>
  <c r="I155" i="56"/>
  <c r="I154" i="56"/>
  <c r="P16" i="19"/>
  <c r="O7" i="18"/>
  <c r="O9" i="18" s="1"/>
  <c r="O10" i="18" s="1"/>
  <c r="O12" i="18" s="1"/>
  <c r="Q9" i="19"/>
  <c r="Q10" i="19" s="1"/>
  <c r="H162" i="56"/>
  <c r="I35" i="58" s="1"/>
  <c r="J29" i="58"/>
  <c r="J33" i="58"/>
  <c r="G74" i="53"/>
  <c r="J32" i="58"/>
  <c r="J40" i="58"/>
  <c r="J41" i="58" s="1"/>
  <c r="K24" i="58"/>
  <c r="J30" i="58"/>
  <c r="J28" i="58"/>
  <c r="I11" i="55"/>
  <c r="J152" i="56"/>
  <c r="G31" i="58"/>
  <c r="H64" i="53"/>
  <c r="P36" i="48"/>
  <c r="E136" i="24"/>
  <c r="E135" i="24"/>
  <c r="E137" i="24"/>
  <c r="R20" i="48"/>
  <c r="R5" i="48"/>
  <c r="R7" i="48" s="1"/>
  <c r="R60" i="24"/>
  <c r="R6" i="17" s="1"/>
  <c r="H18" i="18"/>
  <c r="F66" i="55"/>
  <c r="F69" i="55" s="1"/>
  <c r="G34" i="58" s="1"/>
  <c r="F18" i="55"/>
  <c r="S156" i="24"/>
  <c r="S6" i="24" s="1"/>
  <c r="S13" i="24" s="1"/>
  <c r="S11" i="19" s="1"/>
  <c r="S192" i="24"/>
  <c r="S33" i="24" s="1"/>
  <c r="S40" i="24" s="1"/>
  <c r="E125" i="24"/>
  <c r="E128" i="24"/>
  <c r="G18" i="18"/>
  <c r="I15" i="24"/>
  <c r="H152" i="55"/>
  <c r="H151" i="55"/>
  <c r="H42" i="24"/>
  <c r="E134" i="24"/>
  <c r="E133" i="24"/>
  <c r="T12" i="58"/>
  <c r="P6" i="25"/>
  <c r="P7" i="25" s="1"/>
  <c r="P10" i="17"/>
  <c r="P11" i="17" s="1"/>
  <c r="P13" i="17" s="1"/>
  <c r="P14" i="17"/>
  <c r="E129" i="24"/>
  <c r="F158" i="24"/>
  <c r="F194" i="24" s="1"/>
  <c r="E126" i="24"/>
  <c r="P37" i="48"/>
  <c r="E131" i="24"/>
  <c r="K39" i="48"/>
  <c r="H69" i="24"/>
  <c r="G122" i="24"/>
  <c r="G124" i="24" s="1"/>
  <c r="E130" i="24"/>
  <c r="Q15" i="19"/>
  <c r="Q67" i="24"/>
  <c r="J12" i="25"/>
  <c r="J15" i="25" s="1"/>
  <c r="I18" i="25"/>
  <c r="I17" i="18"/>
  <c r="K15" i="17"/>
  <c r="K20" i="17" s="1"/>
  <c r="J22" i="17"/>
  <c r="J16" i="18" s="1"/>
  <c r="J17" i="17"/>
  <c r="J18" i="17" s="1"/>
  <c r="J529" i="56"/>
  <c r="K526" i="56"/>
  <c r="K528" i="56" s="1"/>
  <c r="E127" i="24"/>
  <c r="Q22" i="48"/>
  <c r="Q35" i="48" s="1"/>
  <c r="Q34" i="48"/>
  <c r="Q10" i="25" s="1"/>
  <c r="Q16" i="58"/>
  <c r="Q20" i="58" s="1"/>
  <c r="Q22" i="58" s="1"/>
  <c r="E132" i="24"/>
  <c r="J148" i="55"/>
  <c r="J150" i="55" s="1"/>
  <c r="I16" i="18"/>
  <c r="R4" i="58"/>
  <c r="R23" i="58" s="1"/>
  <c r="H17" i="55" l="1"/>
  <c r="H13" i="55"/>
  <c r="H65" i="55" s="1"/>
  <c r="J43" i="56"/>
  <c r="J120" i="56"/>
  <c r="J159" i="56" s="1"/>
  <c r="J121" i="56"/>
  <c r="J122" i="56"/>
  <c r="J119" i="56"/>
  <c r="J42" i="56"/>
  <c r="J45" i="56"/>
  <c r="J44" i="56"/>
  <c r="I158" i="56"/>
  <c r="I137" i="56"/>
  <c r="M43" i="58"/>
  <c r="K68" i="53"/>
  <c r="K27" i="58"/>
  <c r="P17" i="19"/>
  <c r="J157" i="56"/>
  <c r="J156" i="56"/>
  <c r="J155" i="56"/>
  <c r="J154" i="56"/>
  <c r="P7" i="18"/>
  <c r="P9" i="18" s="1"/>
  <c r="P10" i="18" s="1"/>
  <c r="P12" i="18" s="1"/>
  <c r="R9" i="19"/>
  <c r="R10" i="19" s="1"/>
  <c r="Q16" i="19"/>
  <c r="K29" i="58"/>
  <c r="K33" i="58"/>
  <c r="H74" i="53"/>
  <c r="I162" i="56"/>
  <c r="J35" i="58" s="1"/>
  <c r="J11" i="55"/>
  <c r="K30" i="58"/>
  <c r="L24" i="58"/>
  <c r="K32" i="58"/>
  <c r="K28" i="58"/>
  <c r="K40" i="58"/>
  <c r="K41" i="58" s="1"/>
  <c r="K152" i="56"/>
  <c r="F136" i="24"/>
  <c r="H31" i="58"/>
  <c r="I64" i="53"/>
  <c r="Q36" i="48"/>
  <c r="F137" i="24"/>
  <c r="F130" i="24"/>
  <c r="F126" i="24"/>
  <c r="F129" i="24"/>
  <c r="F127" i="24"/>
  <c r="F131" i="24"/>
  <c r="F133" i="24"/>
  <c r="I18" i="18"/>
  <c r="S4" i="58"/>
  <c r="S23" i="58" s="1"/>
  <c r="K148" i="55"/>
  <c r="K150" i="55" s="1"/>
  <c r="F135" i="24"/>
  <c r="I42" i="24"/>
  <c r="J18" i="25"/>
  <c r="K12" i="25"/>
  <c r="K15" i="25" s="1"/>
  <c r="J17" i="18"/>
  <c r="L39" i="48"/>
  <c r="F128" i="24"/>
  <c r="S20" i="48"/>
  <c r="S5" i="48"/>
  <c r="S60" i="24"/>
  <c r="S6" i="17" s="1"/>
  <c r="I152" i="55"/>
  <c r="E174" i="24"/>
  <c r="E19" i="24" s="1"/>
  <c r="E26" i="24" s="1"/>
  <c r="E28" i="19" s="1"/>
  <c r="F125" i="24"/>
  <c r="E210" i="24"/>
  <c r="E46" i="24" s="1"/>
  <c r="E53" i="24" s="1"/>
  <c r="R16" i="58"/>
  <c r="R20" i="58" s="1"/>
  <c r="R22" i="58" s="1"/>
  <c r="K529" i="56"/>
  <c r="L526" i="56"/>
  <c r="L528" i="56" s="1"/>
  <c r="K22" i="17"/>
  <c r="K16" i="18" s="1"/>
  <c r="K17" i="17"/>
  <c r="L15" i="17"/>
  <c r="L20" i="17" s="1"/>
  <c r="G158" i="24"/>
  <c r="G194" i="24" s="1"/>
  <c r="J15" i="24"/>
  <c r="Q37" i="48"/>
  <c r="I151" i="55"/>
  <c r="R22" i="48"/>
  <c r="R35" i="48" s="1"/>
  <c r="R34" i="48"/>
  <c r="R10" i="25" s="1"/>
  <c r="G18" i="55"/>
  <c r="G66" i="55"/>
  <c r="G69" i="55" s="1"/>
  <c r="H34" i="58" s="1"/>
  <c r="Q6" i="25"/>
  <c r="Q7" i="25" s="1"/>
  <c r="Q10" i="17"/>
  <c r="Q11" i="17" s="1"/>
  <c r="Q13" i="17" s="1"/>
  <c r="Q14" i="17"/>
  <c r="F132" i="24"/>
  <c r="H122" i="24"/>
  <c r="H124" i="24" s="1"/>
  <c r="I69" i="24"/>
  <c r="F134" i="24"/>
  <c r="R15" i="19"/>
  <c r="R67" i="24"/>
  <c r="J160" i="56" l="1"/>
  <c r="J161" i="56"/>
  <c r="J68" i="56"/>
  <c r="J158" i="56"/>
  <c r="J137" i="56"/>
  <c r="I17" i="55"/>
  <c r="I13" i="55"/>
  <c r="I65" i="55" s="1"/>
  <c r="K43" i="56"/>
  <c r="K120" i="56"/>
  <c r="K44" i="56"/>
  <c r="K121" i="56"/>
  <c r="K160" i="56" s="1"/>
  <c r="K122" i="56"/>
  <c r="K161" i="56" s="1"/>
  <c r="K119" i="56"/>
  <c r="K42" i="56"/>
  <c r="K68" i="56" s="1"/>
  <c r="K45" i="56"/>
  <c r="Q17" i="19"/>
  <c r="L27" i="58"/>
  <c r="N43" i="58"/>
  <c r="L68" i="53"/>
  <c r="K157" i="56"/>
  <c r="K156" i="56"/>
  <c r="K155" i="56"/>
  <c r="K154" i="56"/>
  <c r="R16" i="19"/>
  <c r="Q7" i="18"/>
  <c r="Q9" i="18" s="1"/>
  <c r="Q10" i="18" s="1"/>
  <c r="Q12" i="18" s="1"/>
  <c r="J162" i="56"/>
  <c r="K35" i="58" s="1"/>
  <c r="L29" i="58"/>
  <c r="L33" i="58"/>
  <c r="I74" i="53"/>
  <c r="L32" i="58"/>
  <c r="L30" i="58"/>
  <c r="L28" i="58"/>
  <c r="L40" i="58"/>
  <c r="L41" i="58" s="1"/>
  <c r="M24" i="58"/>
  <c r="K11" i="55"/>
  <c r="L152" i="56"/>
  <c r="I31" i="58"/>
  <c r="J64" i="53"/>
  <c r="R36" i="48"/>
  <c r="G133" i="24"/>
  <c r="E27" i="48"/>
  <c r="E12" i="48"/>
  <c r="E14" i="48" s="1"/>
  <c r="E73" i="24"/>
  <c r="E19" i="17" s="1"/>
  <c r="K15" i="24"/>
  <c r="M39" i="48"/>
  <c r="G134" i="24"/>
  <c r="R37" i="48"/>
  <c r="S22" i="48"/>
  <c r="S34" i="48"/>
  <c r="G130" i="24"/>
  <c r="L529" i="56"/>
  <c r="M526" i="56"/>
  <c r="M528" i="56" s="1"/>
  <c r="G131" i="24"/>
  <c r="J18" i="18"/>
  <c r="J42" i="24"/>
  <c r="G126" i="24"/>
  <c r="I122" i="24"/>
  <c r="I124" i="24" s="1"/>
  <c r="J69" i="24"/>
  <c r="K18" i="25"/>
  <c r="K17" i="18"/>
  <c r="L12" i="25"/>
  <c r="L15" i="25" s="1"/>
  <c r="G129" i="24"/>
  <c r="L22" i="17"/>
  <c r="L16" i="18" s="1"/>
  <c r="L17" i="17"/>
  <c r="L18" i="17" s="1"/>
  <c r="M15" i="17"/>
  <c r="M20" i="17" s="1"/>
  <c r="S67" i="24"/>
  <c r="G132" i="24"/>
  <c r="G137" i="24"/>
  <c r="J152" i="55"/>
  <c r="G127" i="24"/>
  <c r="G128" i="24"/>
  <c r="R6" i="25"/>
  <c r="R7" i="25" s="1"/>
  <c r="R14" i="17"/>
  <c r="G136" i="24"/>
  <c r="J151" i="55"/>
  <c r="T4" i="58"/>
  <c r="T23" i="58" s="1"/>
  <c r="G135" i="24"/>
  <c r="H158" i="24"/>
  <c r="H194" i="24" s="1"/>
  <c r="F210" i="24"/>
  <c r="F46" i="24" s="1"/>
  <c r="F53" i="24" s="1"/>
  <c r="G125" i="24"/>
  <c r="F174" i="24"/>
  <c r="F19" i="24" s="1"/>
  <c r="F26" i="24" s="1"/>
  <c r="F28" i="19" s="1"/>
  <c r="K18" i="17"/>
  <c r="S7" i="48"/>
  <c r="S9" i="19" s="1"/>
  <c r="L148" i="55"/>
  <c r="L150" i="55" s="1"/>
  <c r="H18" i="55"/>
  <c r="H66" i="55"/>
  <c r="S16" i="58"/>
  <c r="K159" i="56" l="1"/>
  <c r="K158" i="56"/>
  <c r="K137" i="56"/>
  <c r="J17" i="55"/>
  <c r="J13" i="55"/>
  <c r="J65" i="55" s="1"/>
  <c r="L45" i="56"/>
  <c r="L122" i="56"/>
  <c r="L161" i="56" s="1"/>
  <c r="L42" i="56"/>
  <c r="L120" i="56"/>
  <c r="L119" i="56"/>
  <c r="L121" i="56"/>
  <c r="L43" i="56"/>
  <c r="L44" i="56"/>
  <c r="R17" i="19"/>
  <c r="M27" i="58"/>
  <c r="O43" i="58"/>
  <c r="M68" i="53"/>
  <c r="L156" i="56"/>
  <c r="L157" i="56"/>
  <c r="L155" i="56"/>
  <c r="L154" i="56"/>
  <c r="E26" i="19"/>
  <c r="E27" i="19" s="1"/>
  <c r="R7" i="18"/>
  <c r="R9" i="18" s="1"/>
  <c r="K162" i="56"/>
  <c r="L35" i="58" s="1"/>
  <c r="M29" i="58"/>
  <c r="M33" i="58"/>
  <c r="J74" i="53"/>
  <c r="L11" i="55"/>
  <c r="M40" i="58"/>
  <c r="M41" i="58" s="1"/>
  <c r="M28" i="58"/>
  <c r="M32" i="58"/>
  <c r="N24" i="58"/>
  <c r="M30" i="58"/>
  <c r="M152" i="56"/>
  <c r="H135" i="24"/>
  <c r="J31" i="58"/>
  <c r="K64" i="53"/>
  <c r="H133" i="24"/>
  <c r="H126" i="24"/>
  <c r="H130" i="24"/>
  <c r="H129" i="24"/>
  <c r="H132" i="24"/>
  <c r="H131" i="24"/>
  <c r="F27" i="48"/>
  <c r="F12" i="48"/>
  <c r="F73" i="24"/>
  <c r="F19" i="17" s="1"/>
  <c r="K151" i="55"/>
  <c r="K152" i="55"/>
  <c r="M17" i="17"/>
  <c r="M18" i="17" s="1"/>
  <c r="N15" i="17"/>
  <c r="N20" i="17" s="1"/>
  <c r="M22" i="17"/>
  <c r="M16" i="18" s="1"/>
  <c r="H136" i="24"/>
  <c r="H137" i="24"/>
  <c r="K69" i="24"/>
  <c r="J122" i="24"/>
  <c r="J124" i="24" s="1"/>
  <c r="S10" i="25"/>
  <c r="E32" i="19"/>
  <c r="E80" i="24"/>
  <c r="G174" i="24"/>
  <c r="G19" i="24" s="1"/>
  <c r="G26" i="24" s="1"/>
  <c r="G28" i="19" s="1"/>
  <c r="H125" i="24"/>
  <c r="G210" i="24"/>
  <c r="G46" i="24" s="1"/>
  <c r="G53" i="24" s="1"/>
  <c r="I158" i="24"/>
  <c r="I194" i="24" s="1"/>
  <c r="L15" i="24"/>
  <c r="S6" i="25"/>
  <c r="S14" i="17"/>
  <c r="K42" i="24"/>
  <c r="M148" i="55"/>
  <c r="M150" i="55" s="1"/>
  <c r="H128" i="24"/>
  <c r="S15" i="19"/>
  <c r="L18" i="25"/>
  <c r="M12" i="25"/>
  <c r="M15" i="25" s="1"/>
  <c r="L17" i="18"/>
  <c r="H134" i="24"/>
  <c r="I66" i="55"/>
  <c r="I69" i="55" s="1"/>
  <c r="J34" i="58" s="1"/>
  <c r="I18" i="55"/>
  <c r="H69" i="55"/>
  <c r="S35" i="48"/>
  <c r="S36" i="48" s="1"/>
  <c r="F26" i="58"/>
  <c r="F45" i="58" s="1"/>
  <c r="N526" i="56"/>
  <c r="N528" i="56" s="1"/>
  <c r="M529" i="56"/>
  <c r="T16" i="58"/>
  <c r="H127" i="24"/>
  <c r="K18" i="18"/>
  <c r="N39" i="48"/>
  <c r="E29" i="48"/>
  <c r="E42" i="48" s="1"/>
  <c r="E41" i="48"/>
  <c r="E20" i="25" s="1"/>
  <c r="L160" i="56" l="1"/>
  <c r="L159" i="56"/>
  <c r="L68" i="56"/>
  <c r="L158" i="56"/>
  <c r="L137" i="56"/>
  <c r="M122" i="56"/>
  <c r="M161" i="56" s="1"/>
  <c r="M119" i="56"/>
  <c r="M43" i="56"/>
  <c r="M121" i="56"/>
  <c r="M120" i="56"/>
  <c r="M159" i="56" s="1"/>
  <c r="M42" i="56"/>
  <c r="M44" i="56"/>
  <c r="M45" i="56"/>
  <c r="K17" i="55"/>
  <c r="K13" i="55"/>
  <c r="K65" i="55" s="1"/>
  <c r="N27" i="58"/>
  <c r="P43" i="58"/>
  <c r="N68" i="53"/>
  <c r="M156" i="56"/>
  <c r="M157" i="56"/>
  <c r="M155" i="56"/>
  <c r="M154" i="56"/>
  <c r="E33" i="19"/>
  <c r="L162" i="56"/>
  <c r="M35" i="58" s="1"/>
  <c r="N33" i="58"/>
  <c r="N29" i="58"/>
  <c r="K74" i="53"/>
  <c r="N32" i="58"/>
  <c r="O24" i="58"/>
  <c r="N40" i="58"/>
  <c r="N41" i="58" s="1"/>
  <c r="N30" i="58"/>
  <c r="N28" i="58"/>
  <c r="M11" i="55"/>
  <c r="N152" i="56"/>
  <c r="K31" i="58"/>
  <c r="L64" i="53"/>
  <c r="E43" i="48"/>
  <c r="I130" i="24"/>
  <c r="I127" i="24"/>
  <c r="I132" i="24"/>
  <c r="I128" i="24"/>
  <c r="I135" i="24"/>
  <c r="I129" i="24"/>
  <c r="G27" i="48"/>
  <c r="O526" i="56"/>
  <c r="O528" i="56" s="1"/>
  <c r="N529" i="56"/>
  <c r="S7" i="25"/>
  <c r="I131" i="24"/>
  <c r="L152" i="55"/>
  <c r="L42" i="24"/>
  <c r="M15" i="24"/>
  <c r="F32" i="19"/>
  <c r="F80" i="24"/>
  <c r="I126" i="24"/>
  <c r="I34" i="58"/>
  <c r="L151" i="55"/>
  <c r="G26" i="58"/>
  <c r="G45" i="58" s="1"/>
  <c r="J158" i="24"/>
  <c r="J194" i="24" s="1"/>
  <c r="E44" i="48"/>
  <c r="E19" i="18" s="1"/>
  <c r="E16" i="25"/>
  <c r="E17" i="25" s="1"/>
  <c r="E23" i="17"/>
  <c r="E24" i="17" s="1"/>
  <c r="E26" i="17" s="1"/>
  <c r="E27" i="17"/>
  <c r="I134" i="24"/>
  <c r="I133" i="24"/>
  <c r="O39" i="48"/>
  <c r="S37" i="48"/>
  <c r="S7" i="18" s="1"/>
  <c r="L18" i="18"/>
  <c r="N148" i="55"/>
  <c r="N150" i="55" s="1"/>
  <c r="I137" i="24"/>
  <c r="F29" i="48"/>
  <c r="F41" i="48"/>
  <c r="F20" i="25" s="1"/>
  <c r="G12" i="48"/>
  <c r="G14" i="48" s="1"/>
  <c r="G73" i="24"/>
  <c r="G19" i="17" s="1"/>
  <c r="O15" i="17"/>
  <c r="O20" i="17" s="1"/>
  <c r="N17" i="17"/>
  <c r="N18" i="17" s="1"/>
  <c r="N22" i="17"/>
  <c r="N16" i="18" s="1"/>
  <c r="F14" i="48"/>
  <c r="F26" i="19" s="1"/>
  <c r="K122" i="24"/>
  <c r="K124" i="24" s="1"/>
  <c r="L69" i="24"/>
  <c r="S10" i="19"/>
  <c r="F38" i="58"/>
  <c r="H210" i="24"/>
  <c r="H46" i="24" s="1"/>
  <c r="H53" i="24" s="1"/>
  <c r="I125" i="24"/>
  <c r="H174" i="24"/>
  <c r="H19" i="24" s="1"/>
  <c r="H26" i="24" s="1"/>
  <c r="H28" i="19" s="1"/>
  <c r="M17" i="18"/>
  <c r="N12" i="25"/>
  <c r="N15" i="25" s="1"/>
  <c r="M18" i="25"/>
  <c r="I136" i="24"/>
  <c r="J66" i="55"/>
  <c r="J69" i="55" s="1"/>
  <c r="K34" i="58" s="1"/>
  <c r="J18" i="55"/>
  <c r="M158" i="56" l="1"/>
  <c r="M137" i="56"/>
  <c r="M68" i="56"/>
  <c r="M160" i="56"/>
  <c r="N120" i="56"/>
  <c r="N119" i="56"/>
  <c r="N122" i="56"/>
  <c r="N121" i="56"/>
  <c r="N44" i="56"/>
  <c r="N43" i="56"/>
  <c r="N42" i="56"/>
  <c r="N45" i="56"/>
  <c r="L17" i="55"/>
  <c r="L13" i="55"/>
  <c r="L65" i="55" s="1"/>
  <c r="O27" i="58"/>
  <c r="Q43" i="58"/>
  <c r="O68" i="53"/>
  <c r="N156" i="56"/>
  <c r="N157" i="56"/>
  <c r="N155" i="56"/>
  <c r="N154" i="56"/>
  <c r="G26" i="19"/>
  <c r="G27" i="19" s="1"/>
  <c r="O29" i="58"/>
  <c r="O33" i="58"/>
  <c r="L74" i="53"/>
  <c r="M162" i="56"/>
  <c r="N35" i="58" s="1"/>
  <c r="N11" i="55"/>
  <c r="O40" i="58"/>
  <c r="O41" i="58" s="1"/>
  <c r="P24" i="58"/>
  <c r="O28" i="58"/>
  <c r="O30" i="58"/>
  <c r="O32" i="58"/>
  <c r="O152" i="56"/>
  <c r="L31" i="58"/>
  <c r="M64" i="53"/>
  <c r="J137" i="24"/>
  <c r="J126" i="24"/>
  <c r="J129" i="24"/>
  <c r="J127" i="24"/>
  <c r="J130" i="24"/>
  <c r="J132" i="24"/>
  <c r="J134" i="24"/>
  <c r="H12" i="48"/>
  <c r="H73" i="24"/>
  <c r="H19" i="17" s="1"/>
  <c r="H27" i="48"/>
  <c r="S16" i="19"/>
  <c r="K18" i="55"/>
  <c r="K66" i="55"/>
  <c r="K69" i="55" s="1"/>
  <c r="L122" i="24"/>
  <c r="L124" i="24" s="1"/>
  <c r="M69" i="24"/>
  <c r="F42" i="48"/>
  <c r="F43" i="48" s="1"/>
  <c r="J131" i="24"/>
  <c r="K158" i="24"/>
  <c r="K194" i="24" s="1"/>
  <c r="P15" i="17"/>
  <c r="P20" i="17" s="1"/>
  <c r="O22" i="17"/>
  <c r="O16" i="18" s="1"/>
  <c r="O17" i="17"/>
  <c r="O18" i="17" s="1"/>
  <c r="S9" i="18"/>
  <c r="J128" i="24"/>
  <c r="N15" i="24"/>
  <c r="I210" i="24"/>
  <c r="I46" i="24" s="1"/>
  <c r="I53" i="24" s="1"/>
  <c r="J125" i="24"/>
  <c r="I174" i="24"/>
  <c r="I19" i="24" s="1"/>
  <c r="I26" i="24" s="1"/>
  <c r="I28" i="19" s="1"/>
  <c r="H26" i="58"/>
  <c r="H45" i="58" s="1"/>
  <c r="O148" i="55"/>
  <c r="O150" i="55" s="1"/>
  <c r="M42" i="24"/>
  <c r="M18" i="18"/>
  <c r="F42" i="58"/>
  <c r="J135" i="24"/>
  <c r="J133" i="24"/>
  <c r="M151" i="55"/>
  <c r="O529" i="56"/>
  <c r="P526" i="56"/>
  <c r="P528" i="56" s="1"/>
  <c r="G80" i="24"/>
  <c r="F16" i="25"/>
  <c r="F17" i="25" s="1"/>
  <c r="F23" i="17"/>
  <c r="F24" i="17" s="1"/>
  <c r="F27" i="17"/>
  <c r="N18" i="25"/>
  <c r="N17" i="18"/>
  <c r="O12" i="25"/>
  <c r="O15" i="25" s="1"/>
  <c r="G38" i="58"/>
  <c r="G42" i="58" s="1"/>
  <c r="G44" i="58" s="1"/>
  <c r="P39" i="48"/>
  <c r="J136" i="24"/>
  <c r="E21" i="18"/>
  <c r="E22" i="18" s="1"/>
  <c r="E24" i="18" s="1"/>
  <c r="M152" i="55"/>
  <c r="G29" i="48"/>
  <c r="G42" i="48" s="1"/>
  <c r="G41" i="48"/>
  <c r="G20" i="25" s="1"/>
  <c r="N160" i="56" l="1"/>
  <c r="O119" i="56"/>
  <c r="O121" i="56"/>
  <c r="O120" i="56"/>
  <c r="O42" i="56"/>
  <c r="O122" i="56"/>
  <c r="O45" i="56"/>
  <c r="O44" i="56"/>
  <c r="O43" i="56"/>
  <c r="N161" i="56"/>
  <c r="N158" i="56"/>
  <c r="N162" i="56" s="1"/>
  <c r="O35" i="58" s="1"/>
  <c r="N137" i="56"/>
  <c r="N159" i="56"/>
  <c r="M17" i="55"/>
  <c r="M13" i="55"/>
  <c r="M65" i="55" s="1"/>
  <c r="N68" i="56"/>
  <c r="R43" i="58"/>
  <c r="P68" i="53"/>
  <c r="P27" i="58"/>
  <c r="O156" i="56"/>
  <c r="O157" i="56"/>
  <c r="O155" i="56"/>
  <c r="O154" i="56"/>
  <c r="P29" i="58"/>
  <c r="P33" i="58"/>
  <c r="M74" i="53"/>
  <c r="Q24" i="58"/>
  <c r="P32" i="58"/>
  <c r="P28" i="58"/>
  <c r="P30" i="58"/>
  <c r="P40" i="58"/>
  <c r="P41" i="58" s="1"/>
  <c r="O11" i="55"/>
  <c r="P152" i="56"/>
  <c r="M31" i="58"/>
  <c r="N64" i="53"/>
  <c r="G43" i="48"/>
  <c r="K126" i="24"/>
  <c r="K137" i="24"/>
  <c r="I12" i="48"/>
  <c r="I14" i="48" s="1"/>
  <c r="I73" i="24"/>
  <c r="I19" i="17" s="1"/>
  <c r="I27" i="48"/>
  <c r="K130" i="24"/>
  <c r="F44" i="58"/>
  <c r="K132" i="24"/>
  <c r="J174" i="24"/>
  <c r="J19" i="24" s="1"/>
  <c r="J26" i="24" s="1"/>
  <c r="J28" i="19" s="1"/>
  <c r="K125" i="24"/>
  <c r="J210" i="24"/>
  <c r="J46" i="24" s="1"/>
  <c r="J53" i="24" s="1"/>
  <c r="L34" i="58"/>
  <c r="G16" i="25"/>
  <c r="G23" i="17"/>
  <c r="G24" i="17" s="1"/>
  <c r="G26" i="17" s="1"/>
  <c r="G27" i="17"/>
  <c r="F26" i="17"/>
  <c r="N151" i="55"/>
  <c r="K134" i="24"/>
  <c r="G44" i="48"/>
  <c r="K136" i="24"/>
  <c r="N42" i="24"/>
  <c r="O15" i="24"/>
  <c r="N152" i="55"/>
  <c r="F27" i="19"/>
  <c r="I26" i="58"/>
  <c r="I45" i="58" s="1"/>
  <c r="L66" i="55"/>
  <c r="L69" i="55" s="1"/>
  <c r="M34" i="58" s="1"/>
  <c r="L18" i="55"/>
  <c r="Q39" i="48"/>
  <c r="N18" i="18"/>
  <c r="G32" i="19"/>
  <c r="K135" i="24"/>
  <c r="P148" i="55"/>
  <c r="P150" i="55" s="1"/>
  <c r="M122" i="24"/>
  <c r="M124" i="24" s="1"/>
  <c r="N69" i="24"/>
  <c r="H32" i="19"/>
  <c r="H80" i="24"/>
  <c r="K127" i="24"/>
  <c r="H38" i="58"/>
  <c r="K131" i="24"/>
  <c r="H29" i="48"/>
  <c r="H41" i="48"/>
  <c r="H20" i="25" s="1"/>
  <c r="K133" i="24"/>
  <c r="F44" i="48"/>
  <c r="F19" i="18" s="1"/>
  <c r="K129" i="24"/>
  <c r="O17" i="18"/>
  <c r="P12" i="25"/>
  <c r="P15" i="25" s="1"/>
  <c r="O18" i="25"/>
  <c r="S17" i="19"/>
  <c r="E34" i="19" s="1"/>
  <c r="Q526" i="56"/>
  <c r="Q528" i="56" s="1"/>
  <c r="P529" i="56"/>
  <c r="K128" i="24"/>
  <c r="P22" i="17"/>
  <c r="P16" i="18" s="1"/>
  <c r="P17" i="17"/>
  <c r="P18" i="17" s="1"/>
  <c r="Q15" i="17"/>
  <c r="Q20" i="17" s="1"/>
  <c r="L158" i="24"/>
  <c r="L194" i="24" s="1"/>
  <c r="H14" i="48"/>
  <c r="H26" i="19" s="1"/>
  <c r="P122" i="56" l="1"/>
  <c r="P120" i="56"/>
  <c r="P119" i="56"/>
  <c r="P42" i="56"/>
  <c r="P121" i="56"/>
  <c r="P43" i="56"/>
  <c r="P45" i="56"/>
  <c r="P44" i="56"/>
  <c r="O161" i="56"/>
  <c r="O68" i="56"/>
  <c r="N17" i="55"/>
  <c r="N13" i="55"/>
  <c r="N65" i="55" s="1"/>
  <c r="O159" i="56"/>
  <c r="O160" i="56"/>
  <c r="O158" i="56"/>
  <c r="O162" i="56" s="1"/>
  <c r="P35" i="58" s="1"/>
  <c r="O137" i="56"/>
  <c r="Q27" i="58"/>
  <c r="S43" i="58"/>
  <c r="Q68" i="53"/>
  <c r="P156" i="56"/>
  <c r="P157" i="56"/>
  <c r="P155" i="56"/>
  <c r="P154" i="56"/>
  <c r="G19" i="18"/>
  <c r="G21" i="18" s="1"/>
  <c r="G22" i="18" s="1"/>
  <c r="G24" i="18" s="1"/>
  <c r="I26" i="19"/>
  <c r="I27" i="19" s="1"/>
  <c r="N74" i="53"/>
  <c r="Q29" i="58"/>
  <c r="Q33" i="58"/>
  <c r="P11" i="55"/>
  <c r="R24" i="58"/>
  <c r="Q30" i="58"/>
  <c r="Q40" i="58"/>
  <c r="Q41" i="58" s="1"/>
  <c r="Q32" i="58"/>
  <c r="Q28" i="58"/>
  <c r="Q152" i="56"/>
  <c r="N31" i="58"/>
  <c r="O64" i="53"/>
  <c r="L126" i="24"/>
  <c r="J12" i="48"/>
  <c r="J73" i="24"/>
  <c r="J19" i="17" s="1"/>
  <c r="L128" i="24"/>
  <c r="J27" i="48"/>
  <c r="L132" i="24"/>
  <c r="O18" i="18"/>
  <c r="O69" i="24"/>
  <c r="N122" i="24"/>
  <c r="N124" i="24" s="1"/>
  <c r="H16" i="25"/>
  <c r="H17" i="25" s="1"/>
  <c r="H23" i="17"/>
  <c r="H24" i="17" s="1"/>
  <c r="H26" i="17" s="1"/>
  <c r="H27" i="17"/>
  <c r="O42" i="24"/>
  <c r="G17" i="25"/>
  <c r="Q22" i="17"/>
  <c r="Q16" i="18" s="1"/>
  <c r="Q17" i="17"/>
  <c r="Q18" i="17" s="1"/>
  <c r="R15" i="17"/>
  <c r="R20" i="17" s="1"/>
  <c r="Q529" i="56"/>
  <c r="R526" i="56"/>
  <c r="R528" i="56" s="1"/>
  <c r="L129" i="24"/>
  <c r="H42" i="48"/>
  <c r="H43" i="48" s="1"/>
  <c r="M158" i="24"/>
  <c r="M194" i="24" s="1"/>
  <c r="I38" i="58"/>
  <c r="I42" i="58" s="1"/>
  <c r="I44" i="58" s="1"/>
  <c r="P15" i="24"/>
  <c r="L131" i="24"/>
  <c r="L136" i="24"/>
  <c r="I29" i="48"/>
  <c r="I42" i="48" s="1"/>
  <c r="I41" i="48"/>
  <c r="Q148" i="55"/>
  <c r="Q150" i="55" s="1"/>
  <c r="F33" i="19"/>
  <c r="L137" i="24"/>
  <c r="J26" i="58"/>
  <c r="J45" i="58" s="1"/>
  <c r="L127" i="24"/>
  <c r="L135" i="24"/>
  <c r="O152" i="55"/>
  <c r="L134" i="24"/>
  <c r="I32" i="19"/>
  <c r="I80" i="24"/>
  <c r="G33" i="19"/>
  <c r="O151" i="55"/>
  <c r="R39" i="48"/>
  <c r="K210" i="24"/>
  <c r="K46" i="24" s="1"/>
  <c r="K53" i="24" s="1"/>
  <c r="K174" i="24"/>
  <c r="K19" i="24" s="1"/>
  <c r="K26" i="24" s="1"/>
  <c r="K28" i="19" s="1"/>
  <c r="L125" i="24"/>
  <c r="L130" i="24"/>
  <c r="H42" i="58"/>
  <c r="M18" i="55"/>
  <c r="M66" i="55"/>
  <c r="M69" i="55" s="1"/>
  <c r="P17" i="18"/>
  <c r="Q12" i="25"/>
  <c r="Q15" i="25" s="1"/>
  <c r="P18" i="25"/>
  <c r="L133" i="24"/>
  <c r="Q115" i="56" l="1"/>
  <c r="D81" i="56" s="1"/>
  <c r="Q107" i="56"/>
  <c r="Q39" i="56"/>
  <c r="D5" i="56" s="1"/>
  <c r="Q119" i="56"/>
  <c r="Q46" i="56"/>
  <c r="D12" i="56" s="1"/>
  <c r="Q117" i="56"/>
  <c r="D83" i="56" s="1"/>
  <c r="Q110" i="56"/>
  <c r="D76" i="56" s="1"/>
  <c r="Q48" i="56"/>
  <c r="D14" i="56" s="1"/>
  <c r="Q121" i="56"/>
  <c r="Q160" i="56" s="1"/>
  <c r="Q49" i="56"/>
  <c r="D15" i="56" s="1"/>
  <c r="Q120" i="56"/>
  <c r="Q159" i="56" s="1"/>
  <c r="Q38" i="56"/>
  <c r="Q154" i="56" s="1"/>
  <c r="Q47" i="56"/>
  <c r="D13" i="56" s="1"/>
  <c r="Q116" i="56"/>
  <c r="D82" i="56" s="1"/>
  <c r="Q108" i="56"/>
  <c r="D74" i="56" s="1"/>
  <c r="Q42" i="56"/>
  <c r="Q43" i="56"/>
  <c r="Q122" i="56"/>
  <c r="Q44" i="56"/>
  <c r="Q45" i="56"/>
  <c r="Q40" i="56"/>
  <c r="D6" i="56" s="1"/>
  <c r="Q118" i="56"/>
  <c r="D84" i="56" s="1"/>
  <c r="Q41" i="56"/>
  <c r="D7" i="56" s="1"/>
  <c r="Q109" i="56"/>
  <c r="D75" i="56" s="1"/>
  <c r="O17" i="55"/>
  <c r="O13" i="55"/>
  <c r="O65" i="55" s="1"/>
  <c r="P160" i="56"/>
  <c r="P68" i="56"/>
  <c r="P158" i="56"/>
  <c r="P162" i="56" s="1"/>
  <c r="Q35" i="58" s="1"/>
  <c r="P137" i="56"/>
  <c r="P159" i="56"/>
  <c r="P161" i="56"/>
  <c r="T43" i="58"/>
  <c r="S68" i="53" s="1"/>
  <c r="R68" i="53"/>
  <c r="R27" i="58"/>
  <c r="I33" i="19"/>
  <c r="R29" i="58"/>
  <c r="R33" i="58"/>
  <c r="O74" i="53"/>
  <c r="M126" i="24"/>
  <c r="I43" i="48"/>
  <c r="R30" i="58"/>
  <c r="R32" i="58"/>
  <c r="R40" i="58"/>
  <c r="R41" i="58" s="1"/>
  <c r="R28" i="58"/>
  <c r="S24" i="58"/>
  <c r="Q11" i="55"/>
  <c r="R152" i="56"/>
  <c r="O31" i="58"/>
  <c r="P64" i="53"/>
  <c r="M136" i="24"/>
  <c r="M129" i="24"/>
  <c r="M127" i="24"/>
  <c r="M133" i="24"/>
  <c r="M131" i="24"/>
  <c r="M134" i="24"/>
  <c r="M130" i="24"/>
  <c r="M135" i="24"/>
  <c r="M137" i="24"/>
  <c r="K12" i="48"/>
  <c r="K14" i="48" s="1"/>
  <c r="K73" i="24"/>
  <c r="K19" i="17" s="1"/>
  <c r="H27" i="19"/>
  <c r="K27" i="48"/>
  <c r="R148" i="55"/>
  <c r="R150" i="55" s="1"/>
  <c r="Q15" i="24"/>
  <c r="H44" i="48"/>
  <c r="H19" i="18" s="1"/>
  <c r="N34" i="58"/>
  <c r="I16" i="25"/>
  <c r="I23" i="17"/>
  <c r="I24" i="17" s="1"/>
  <c r="I27" i="17"/>
  <c r="I20" i="25"/>
  <c r="J29" i="48"/>
  <c r="J41" i="48"/>
  <c r="J20" i="25" s="1"/>
  <c r="L174" i="24"/>
  <c r="L19" i="24" s="1"/>
  <c r="L26" i="24" s="1"/>
  <c r="L28" i="19" s="1"/>
  <c r="L210" i="24"/>
  <c r="L46" i="24" s="1"/>
  <c r="L53" i="24" s="1"/>
  <c r="M125" i="24"/>
  <c r="J38" i="58"/>
  <c r="I44" i="48"/>
  <c r="R529" i="56"/>
  <c r="S526" i="56"/>
  <c r="S528" i="56" s="1"/>
  <c r="M128" i="24"/>
  <c r="K26" i="58"/>
  <c r="K45" i="58" s="1"/>
  <c r="P18" i="18"/>
  <c r="P152" i="55"/>
  <c r="J14" i="48"/>
  <c r="J26" i="19" s="1"/>
  <c r="S39" i="48"/>
  <c r="F34" i="19"/>
  <c r="G34" i="19" s="1"/>
  <c r="P151" i="55"/>
  <c r="N158" i="24"/>
  <c r="N194" i="24" s="1"/>
  <c r="J32" i="19"/>
  <c r="J80" i="24"/>
  <c r="Q18" i="25"/>
  <c r="R12" i="25"/>
  <c r="R15" i="25" s="1"/>
  <c r="Q17" i="18"/>
  <c r="H44" i="58"/>
  <c r="N66" i="55"/>
  <c r="N69" i="55" s="1"/>
  <c r="O34" i="58" s="1"/>
  <c r="N18" i="55"/>
  <c r="S15" i="17"/>
  <c r="S20" i="17" s="1"/>
  <c r="R22" i="17"/>
  <c r="R16" i="18" s="1"/>
  <c r="R17" i="17"/>
  <c r="R18" i="17" s="1"/>
  <c r="P69" i="24"/>
  <c r="O122" i="24"/>
  <c r="O124" i="24" s="1"/>
  <c r="P42" i="24"/>
  <c r="F21" i="18"/>
  <c r="F22" i="18" s="1"/>
  <c r="M132" i="24"/>
  <c r="P17" i="55" l="1"/>
  <c r="P13" i="55"/>
  <c r="P65" i="55" s="1"/>
  <c r="Q155" i="56"/>
  <c r="Q157" i="56"/>
  <c r="R42" i="56"/>
  <c r="R120" i="56"/>
  <c r="R119" i="56"/>
  <c r="R122" i="56"/>
  <c r="R121" i="56"/>
  <c r="R160" i="56" s="1"/>
  <c r="R43" i="56"/>
  <c r="R44" i="56"/>
  <c r="R45" i="56"/>
  <c r="Q156" i="56"/>
  <c r="Q162" i="56" s="1"/>
  <c r="R35" i="58" s="1"/>
  <c r="Q158" i="56"/>
  <c r="Q161" i="56"/>
  <c r="Q137" i="56"/>
  <c r="D73" i="56"/>
  <c r="D4" i="56"/>
  <c r="Q68" i="56"/>
  <c r="S27" i="58"/>
  <c r="D7" i="17"/>
  <c r="R157" i="56"/>
  <c r="R156" i="56"/>
  <c r="R155" i="56"/>
  <c r="R154" i="56"/>
  <c r="K26" i="19"/>
  <c r="K27" i="19" s="1"/>
  <c r="I19" i="18"/>
  <c r="I21" i="18" s="1"/>
  <c r="I22" i="18" s="1"/>
  <c r="I24" i="18" s="1"/>
  <c r="P74" i="53"/>
  <c r="S29" i="58"/>
  <c r="S33" i="58"/>
  <c r="R11" i="55"/>
  <c r="S28" i="58"/>
  <c r="S40" i="58"/>
  <c r="S41" i="58" s="1"/>
  <c r="T24" i="58"/>
  <c r="S30" i="58"/>
  <c r="S32" i="58"/>
  <c r="S152" i="56"/>
  <c r="P31" i="58"/>
  <c r="Q64" i="53"/>
  <c r="N128" i="24"/>
  <c r="N131" i="24"/>
  <c r="N127" i="24"/>
  <c r="N135" i="24"/>
  <c r="N134" i="24"/>
  <c r="N133" i="24"/>
  <c r="N129" i="24"/>
  <c r="N136" i="24"/>
  <c r="N126" i="24"/>
  <c r="S529" i="56"/>
  <c r="N132" i="24"/>
  <c r="L12" i="48"/>
  <c r="L73" i="24"/>
  <c r="L19" i="17" s="1"/>
  <c r="L27" i="48"/>
  <c r="F24" i="18"/>
  <c r="K38" i="58"/>
  <c r="K42" i="58" s="1"/>
  <c r="K44" i="58" s="1"/>
  <c r="I26" i="17"/>
  <c r="H33" i="19"/>
  <c r="N137" i="24"/>
  <c r="I17" i="25"/>
  <c r="R15" i="24"/>
  <c r="L26" i="58"/>
  <c r="L45" i="58" s="1"/>
  <c r="O18" i="55"/>
  <c r="O66" i="55"/>
  <c r="O69" i="55" s="1"/>
  <c r="P34" i="58" s="1"/>
  <c r="J42" i="58"/>
  <c r="S17" i="17"/>
  <c r="Q69" i="24"/>
  <c r="P122" i="24"/>
  <c r="P124" i="24" s="1"/>
  <c r="J16" i="25"/>
  <c r="J17" i="25" s="1"/>
  <c r="J23" i="17"/>
  <c r="J24" i="17" s="1"/>
  <c r="J26" i="17" s="1"/>
  <c r="J27" i="17"/>
  <c r="Q152" i="55"/>
  <c r="K32" i="19"/>
  <c r="K80" i="24"/>
  <c r="Q42" i="24"/>
  <c r="Q18" i="18"/>
  <c r="J42" i="48"/>
  <c r="J43" i="48" s="1"/>
  <c r="S148" i="55"/>
  <c r="S150" i="55" s="1"/>
  <c r="Q151" i="55"/>
  <c r="N130" i="24"/>
  <c r="R18" i="25"/>
  <c r="S12" i="25"/>
  <c r="S15" i="25" s="1"/>
  <c r="R17" i="18"/>
  <c r="O158" i="24"/>
  <c r="O194" i="24" s="1"/>
  <c r="M174" i="24"/>
  <c r="M19" i="24" s="1"/>
  <c r="M26" i="24" s="1"/>
  <c r="M28" i="19" s="1"/>
  <c r="M210" i="24"/>
  <c r="M46" i="24" s="1"/>
  <c r="M53" i="24" s="1"/>
  <c r="N125" i="24"/>
  <c r="K29" i="48"/>
  <c r="K42" i="48" s="1"/>
  <c r="K41" i="48"/>
  <c r="K20" i="25" s="1"/>
  <c r="R161" i="56" l="1"/>
  <c r="R158" i="56"/>
  <c r="R137" i="56"/>
  <c r="Q17" i="55"/>
  <c r="Q13" i="55"/>
  <c r="Q65" i="55" s="1"/>
  <c r="R159" i="56"/>
  <c r="R68" i="56"/>
  <c r="S121" i="56"/>
  <c r="S43" i="56"/>
  <c r="D9" i="56" s="1"/>
  <c r="S119" i="56"/>
  <c r="S120" i="56"/>
  <c r="S122" i="56"/>
  <c r="S44" i="56"/>
  <c r="D10" i="56" s="1"/>
  <c r="S45" i="56"/>
  <c r="D11" i="56" s="1"/>
  <c r="S42" i="56"/>
  <c r="T27" i="58"/>
  <c r="S157" i="56"/>
  <c r="D145" i="56" s="1"/>
  <c r="S156" i="56"/>
  <c r="S155" i="56"/>
  <c r="D143" i="56" s="1"/>
  <c r="S154" i="56"/>
  <c r="D142" i="56" s="1"/>
  <c r="K33" i="19"/>
  <c r="T29" i="58"/>
  <c r="D7" i="58" s="1"/>
  <c r="T33" i="58"/>
  <c r="D11" i="58" s="1"/>
  <c r="Q74" i="53"/>
  <c r="R162" i="56"/>
  <c r="S35" i="58" s="1"/>
  <c r="T28" i="58"/>
  <c r="D6" i="58" s="1"/>
  <c r="T32" i="58"/>
  <c r="D10" i="58" s="1"/>
  <c r="T30" i="58"/>
  <c r="D8" i="58" s="1"/>
  <c r="S11" i="55"/>
  <c r="Q31" i="58"/>
  <c r="R64" i="53"/>
  <c r="K43" i="48"/>
  <c r="O132" i="24"/>
  <c r="O133" i="24"/>
  <c r="O128" i="24"/>
  <c r="O134" i="24"/>
  <c r="O136" i="24"/>
  <c r="O130" i="24"/>
  <c r="O137" i="24"/>
  <c r="O126" i="24"/>
  <c r="M27" i="48"/>
  <c r="M12" i="48"/>
  <c r="M14" i="48" s="1"/>
  <c r="M73" i="24"/>
  <c r="M19" i="17" s="1"/>
  <c r="J44" i="48"/>
  <c r="J19" i="18" s="1"/>
  <c r="S15" i="24"/>
  <c r="S17" i="18"/>
  <c r="P158" i="24"/>
  <c r="P194" i="24" s="1"/>
  <c r="O135" i="24"/>
  <c r="P18" i="55"/>
  <c r="P66" i="55"/>
  <c r="P69" i="55" s="1"/>
  <c r="Q34" i="58" s="1"/>
  <c r="Q122" i="24"/>
  <c r="Q124" i="24" s="1"/>
  <c r="R69" i="24"/>
  <c r="O129" i="24"/>
  <c r="L29" i="48"/>
  <c r="L41" i="48"/>
  <c r="L20" i="25" s="1"/>
  <c r="R152" i="55"/>
  <c r="K44" i="48"/>
  <c r="R151" i="55"/>
  <c r="M26" i="58"/>
  <c r="M45" i="58" s="1"/>
  <c r="K16" i="25"/>
  <c r="K17" i="25" s="1"/>
  <c r="K23" i="17"/>
  <c r="K24" i="17" s="1"/>
  <c r="K27" i="17"/>
  <c r="R42" i="24"/>
  <c r="L38" i="58"/>
  <c r="L42" i="58" s="1"/>
  <c r="L44" i="58" s="1"/>
  <c r="H34" i="19"/>
  <c r="I34" i="19" s="1"/>
  <c r="O131" i="24"/>
  <c r="O127" i="24"/>
  <c r="S18" i="17"/>
  <c r="D4" i="17"/>
  <c r="D5" i="17" s="1"/>
  <c r="L32" i="19"/>
  <c r="L80" i="24"/>
  <c r="H21" i="18"/>
  <c r="H22" i="18" s="1"/>
  <c r="J27" i="19"/>
  <c r="L14" i="48"/>
  <c r="L26" i="19" s="1"/>
  <c r="N210" i="24"/>
  <c r="N46" i="24" s="1"/>
  <c r="N53" i="24" s="1"/>
  <c r="O125" i="24"/>
  <c r="N174" i="24"/>
  <c r="N19" i="24" s="1"/>
  <c r="N26" i="24" s="1"/>
  <c r="N28" i="19" s="1"/>
  <c r="R18" i="18"/>
  <c r="J44" i="58"/>
  <c r="S158" i="56" l="1"/>
  <c r="D146" i="56" s="1"/>
  <c r="S137" i="56"/>
  <c r="D103" i="56" s="1"/>
  <c r="D166" i="56" s="1"/>
  <c r="D85" i="56"/>
  <c r="S160" i="56"/>
  <c r="D148" i="56" s="1"/>
  <c r="D87" i="56"/>
  <c r="S161" i="56"/>
  <c r="D149" i="56" s="1"/>
  <c r="D88" i="56"/>
  <c r="S159" i="56"/>
  <c r="D147" i="56" s="1"/>
  <c r="D86" i="56"/>
  <c r="R17" i="55"/>
  <c r="R13" i="55"/>
  <c r="R65" i="55" s="1"/>
  <c r="S68" i="56"/>
  <c r="D34" i="56" s="1"/>
  <c r="D165" i="56" s="1"/>
  <c r="D8" i="56"/>
  <c r="M26" i="19"/>
  <c r="M27" i="19" s="1"/>
  <c r="K19" i="18"/>
  <c r="K21" i="18" s="1"/>
  <c r="K22" i="18" s="1"/>
  <c r="K24" i="18" s="1"/>
  <c r="R74" i="53"/>
  <c r="D144" i="56"/>
  <c r="P133" i="24"/>
  <c r="P131" i="24"/>
  <c r="R31" i="58"/>
  <c r="S64" i="53"/>
  <c r="P132" i="24"/>
  <c r="P126" i="24"/>
  <c r="P128" i="24"/>
  <c r="P137" i="24"/>
  <c r="P127" i="24"/>
  <c r="L42" i="48"/>
  <c r="P129" i="24"/>
  <c r="P134" i="24"/>
  <c r="N27" i="48"/>
  <c r="N12" i="48"/>
  <c r="N14" i="48" s="1"/>
  <c r="N73" i="24"/>
  <c r="N19" i="17" s="1"/>
  <c r="S151" i="55"/>
  <c r="N26" i="58"/>
  <c r="N45" i="58" s="1"/>
  <c r="S69" i="24"/>
  <c r="R122" i="24"/>
  <c r="R124" i="24" s="1"/>
  <c r="H24" i="18"/>
  <c r="P125" i="24"/>
  <c r="O174" i="24"/>
  <c r="O19" i="24" s="1"/>
  <c r="O26" i="24" s="1"/>
  <c r="O28" i="19" s="1"/>
  <c r="O210" i="24"/>
  <c r="O46" i="24" s="1"/>
  <c r="O53" i="24" s="1"/>
  <c r="L16" i="25"/>
  <c r="L17" i="25" s="1"/>
  <c r="L23" i="17"/>
  <c r="L24" i="17" s="1"/>
  <c r="L26" i="17" s="1"/>
  <c r="L27" i="17"/>
  <c r="Q66" i="55"/>
  <c r="Q69" i="55" s="1"/>
  <c r="R34" i="58" s="1"/>
  <c r="Q18" i="55"/>
  <c r="Q158" i="24"/>
  <c r="Q194" i="24" s="1"/>
  <c r="M38" i="58"/>
  <c r="M42" i="58" s="1"/>
  <c r="S152" i="55"/>
  <c r="P136" i="24"/>
  <c r="D5" i="18"/>
  <c r="D5" i="25"/>
  <c r="M29" i="48"/>
  <c r="M42" i="48" s="1"/>
  <c r="M41" i="48"/>
  <c r="M20" i="25" s="1"/>
  <c r="M32" i="19"/>
  <c r="M80" i="24"/>
  <c r="K26" i="17"/>
  <c r="J33" i="19"/>
  <c r="P130" i="24"/>
  <c r="S42" i="24"/>
  <c r="P135" i="24"/>
  <c r="S162" i="56" l="1"/>
  <c r="S17" i="55"/>
  <c r="S13" i="55"/>
  <c r="M33" i="19"/>
  <c r="N26" i="19"/>
  <c r="N27" i="19" s="1"/>
  <c r="S74" i="53"/>
  <c r="D150" i="56"/>
  <c r="D167" i="56" s="1"/>
  <c r="T35" i="58"/>
  <c r="D13" i="58" s="1"/>
  <c r="S122" i="24"/>
  <c r="S31" i="58"/>
  <c r="Q132" i="24"/>
  <c r="M43" i="48"/>
  <c r="L44" i="48"/>
  <c r="L43" i="48"/>
  <c r="Q137" i="24"/>
  <c r="Q126" i="24"/>
  <c r="Q136" i="24"/>
  <c r="Q135" i="24"/>
  <c r="Q129" i="24"/>
  <c r="Q134" i="24"/>
  <c r="Q133" i="24"/>
  <c r="Q130" i="24"/>
  <c r="O12" i="48"/>
  <c r="O14" i="48" s="1"/>
  <c r="O73" i="24"/>
  <c r="O19" i="17" s="1"/>
  <c r="O27" i="48"/>
  <c r="J21" i="18"/>
  <c r="J22" i="18" s="1"/>
  <c r="J34" i="19"/>
  <c r="K34" i="19" s="1"/>
  <c r="Q127" i="24"/>
  <c r="M16" i="25"/>
  <c r="M17" i="25" s="1"/>
  <c r="M23" i="17"/>
  <c r="M24" i="17" s="1"/>
  <c r="M26" i="17" s="1"/>
  <c r="M27" i="17"/>
  <c r="N32" i="19"/>
  <c r="N80" i="24"/>
  <c r="R66" i="55"/>
  <c r="R69" i="55" s="1"/>
  <c r="S34" i="58" s="1"/>
  <c r="R18" i="55"/>
  <c r="P210" i="24"/>
  <c r="P46" i="24" s="1"/>
  <c r="P53" i="24" s="1"/>
  <c r="Q125" i="24"/>
  <c r="P174" i="24"/>
  <c r="P19" i="24" s="1"/>
  <c r="P26" i="24" s="1"/>
  <c r="P28" i="19" s="1"/>
  <c r="R158" i="24"/>
  <c r="R194" i="24" s="1"/>
  <c r="L27" i="19"/>
  <c r="M44" i="48"/>
  <c r="M19" i="18" s="1"/>
  <c r="S66" i="55"/>
  <c r="S18" i="55"/>
  <c r="D8" i="55"/>
  <c r="N29" i="48"/>
  <c r="N42" i="48" s="1"/>
  <c r="N41" i="48"/>
  <c r="N20" i="25" s="1"/>
  <c r="M44" i="58"/>
  <c r="N38" i="58"/>
  <c r="N42" i="58" s="1"/>
  <c r="N44" i="58" s="1"/>
  <c r="O26" i="58"/>
  <c r="O45" i="58" s="1"/>
  <c r="Q128" i="24"/>
  <c r="Q131" i="24"/>
  <c r="S65" i="55" l="1"/>
  <c r="D57" i="55" s="1"/>
  <c r="D4" i="55"/>
  <c r="D72" i="55" s="1"/>
  <c r="S158" i="24"/>
  <c r="S194" i="24" s="1"/>
  <c r="S124" i="24"/>
  <c r="N33" i="19"/>
  <c r="O26" i="19"/>
  <c r="O27" i="19" s="1"/>
  <c r="L19" i="18"/>
  <c r="L21" i="18" s="1"/>
  <c r="L22" i="18" s="1"/>
  <c r="L24" i="18" s="1"/>
  <c r="D56" i="53"/>
  <c r="T31" i="58"/>
  <c r="D9" i="58" s="1"/>
  <c r="D62" i="53"/>
  <c r="D79" i="53" s="1"/>
  <c r="D61" i="24"/>
  <c r="D5" i="58"/>
  <c r="N43" i="48"/>
  <c r="R126" i="24"/>
  <c r="S126" i="24" s="1"/>
  <c r="R134" i="24"/>
  <c r="S134" i="24" s="1"/>
  <c r="R129" i="24"/>
  <c r="S129" i="24" s="1"/>
  <c r="R127" i="24"/>
  <c r="S127" i="24" s="1"/>
  <c r="R130" i="24"/>
  <c r="R137" i="24"/>
  <c r="R131" i="24"/>
  <c r="S131" i="24" s="1"/>
  <c r="D73" i="55"/>
  <c r="R135" i="24"/>
  <c r="S135" i="24" s="1"/>
  <c r="R136" i="24"/>
  <c r="S136" i="24" s="1"/>
  <c r="P12" i="48"/>
  <c r="P14" i="48" s="1"/>
  <c r="P73" i="24"/>
  <c r="P19" i="17" s="1"/>
  <c r="P27" i="48"/>
  <c r="J24" i="18"/>
  <c r="N44" i="48"/>
  <c r="Q210" i="24"/>
  <c r="Q46" i="24" s="1"/>
  <c r="Q53" i="24" s="1"/>
  <c r="R125" i="24"/>
  <c r="Q174" i="24"/>
  <c r="Q19" i="24" s="1"/>
  <c r="Q26" i="24" s="1"/>
  <c r="Q28" i="19" s="1"/>
  <c r="L33" i="19"/>
  <c r="R132" i="24"/>
  <c r="S132" i="24" s="1"/>
  <c r="N16" i="25"/>
  <c r="N17" i="25" s="1"/>
  <c r="N23" i="17"/>
  <c r="N24" i="17" s="1"/>
  <c r="N26" i="17" s="1"/>
  <c r="N27" i="17"/>
  <c r="O32" i="19"/>
  <c r="O80" i="24"/>
  <c r="R128" i="24"/>
  <c r="S128" i="24" s="1"/>
  <c r="O38" i="58"/>
  <c r="O42" i="58" s="1"/>
  <c r="O44" i="58" s="1"/>
  <c r="R133" i="24"/>
  <c r="S133" i="24" s="1"/>
  <c r="S69" i="55"/>
  <c r="D58" i="55"/>
  <c r="P26" i="58"/>
  <c r="P45" i="58" s="1"/>
  <c r="O29" i="48"/>
  <c r="O42" i="48" s="1"/>
  <c r="O41" i="48"/>
  <c r="O20" i="25" s="1"/>
  <c r="D9" i="55"/>
  <c r="S137" i="24" l="1"/>
  <c r="S130" i="24"/>
  <c r="P26" i="19"/>
  <c r="P27" i="19" s="1"/>
  <c r="N19" i="18"/>
  <c r="N21" i="18" s="1"/>
  <c r="N22" i="18" s="1"/>
  <c r="N24" i="18" s="1"/>
  <c r="O33" i="19"/>
  <c r="O43" i="48"/>
  <c r="Q12" i="48"/>
  <c r="Q14" i="48" s="1"/>
  <c r="Q73" i="24"/>
  <c r="Q19" i="17" s="1"/>
  <c r="P38" i="58"/>
  <c r="P42" i="58" s="1"/>
  <c r="P44" i="58" s="1"/>
  <c r="L34" i="19"/>
  <c r="M34" i="19" s="1"/>
  <c r="N34" i="19" s="1"/>
  <c r="Q27" i="48"/>
  <c r="Q26" i="58"/>
  <c r="Q45" i="58" s="1"/>
  <c r="P32" i="19"/>
  <c r="P80" i="24"/>
  <c r="O16" i="25"/>
  <c r="O17" i="25" s="1"/>
  <c r="O23" i="17"/>
  <c r="O24" i="17" s="1"/>
  <c r="O26" i="17" s="1"/>
  <c r="O27" i="17"/>
  <c r="M21" i="18"/>
  <c r="M22" i="18" s="1"/>
  <c r="T34" i="58"/>
  <c r="D12" i="58" s="1"/>
  <c r="D61" i="55"/>
  <c r="D76" i="55" s="1"/>
  <c r="P29" i="48"/>
  <c r="P42" i="48" s="1"/>
  <c r="P41" i="48"/>
  <c r="P20" i="25" s="1"/>
  <c r="R174" i="24"/>
  <c r="R19" i="24" s="1"/>
  <c r="R26" i="24" s="1"/>
  <c r="R28" i="19" s="1"/>
  <c r="R210" i="24"/>
  <c r="R46" i="24" s="1"/>
  <c r="R53" i="24" s="1"/>
  <c r="S125" i="24"/>
  <c r="O44" i="48"/>
  <c r="P33" i="19" l="1"/>
  <c r="O19" i="18"/>
  <c r="O21" i="18" s="1"/>
  <c r="O22" i="18" s="1"/>
  <c r="O24" i="18" s="1"/>
  <c r="O34" i="19"/>
  <c r="Q26" i="19"/>
  <c r="Q27" i="19" s="1"/>
  <c r="P43" i="48"/>
  <c r="R27" i="48"/>
  <c r="R12" i="48"/>
  <c r="R14" i="48" s="1"/>
  <c r="R73" i="24"/>
  <c r="R19" i="17" s="1"/>
  <c r="Q38" i="58"/>
  <c r="Q42" i="58" s="1"/>
  <c r="Q44" i="58" s="1"/>
  <c r="P16" i="25"/>
  <c r="P17" i="25" s="1"/>
  <c r="P23" i="17"/>
  <c r="P24" i="17" s="1"/>
  <c r="P26" i="17" s="1"/>
  <c r="P27" i="17"/>
  <c r="S19" i="24"/>
  <c r="S26" i="24" s="1"/>
  <c r="S28" i="19" s="1"/>
  <c r="S46" i="24"/>
  <c r="S53" i="24" s="1"/>
  <c r="M24" i="18"/>
  <c r="Q32" i="19"/>
  <c r="Q80" i="24"/>
  <c r="P44" i="48"/>
  <c r="R26" i="58"/>
  <c r="R45" i="58" s="1"/>
  <c r="Q29" i="48"/>
  <c r="Q42" i="48" s="1"/>
  <c r="Q41" i="48"/>
  <c r="Q20" i="25" s="1"/>
  <c r="P34" i="19" l="1"/>
  <c r="P19" i="18"/>
  <c r="P21" i="18" s="1"/>
  <c r="P22" i="18" s="1"/>
  <c r="P24" i="18" s="1"/>
  <c r="Q33" i="19"/>
  <c r="R26" i="19"/>
  <c r="R27" i="19" s="1"/>
  <c r="Q43" i="48"/>
  <c r="Q44" i="48"/>
  <c r="R32" i="19"/>
  <c r="R80" i="24"/>
  <c r="S27" i="48"/>
  <c r="D40" i="24"/>
  <c r="D84" i="24" s="1"/>
  <c r="D33" i="24"/>
  <c r="S26" i="58"/>
  <c r="S45" i="58" s="1"/>
  <c r="R38" i="58"/>
  <c r="R42" i="58" s="1"/>
  <c r="R44" i="58" s="1"/>
  <c r="R29" i="48"/>
  <c r="R42" i="48" s="1"/>
  <c r="R41" i="48"/>
  <c r="R20" i="25" s="1"/>
  <c r="Q16" i="25"/>
  <c r="Q17" i="25" s="1"/>
  <c r="Q23" i="17"/>
  <c r="Q24" i="17" s="1"/>
  <c r="Q26" i="17" s="1"/>
  <c r="Q27" i="17"/>
  <c r="S12" i="48"/>
  <c r="S73" i="24"/>
  <c r="S19" i="17" s="1"/>
  <c r="D6" i="24"/>
  <c r="Q34" i="19" l="1"/>
  <c r="Q19" i="18"/>
  <c r="Q21" i="18" s="1"/>
  <c r="Q22" i="18" s="1"/>
  <c r="Q24" i="18" s="1"/>
  <c r="R33" i="19"/>
  <c r="R43" i="48"/>
  <c r="R44" i="48"/>
  <c r="S29" i="48"/>
  <c r="S41" i="48"/>
  <c r="D20" i="48"/>
  <c r="S80" i="24"/>
  <c r="D67" i="24" s="1"/>
  <c r="D85" i="24" s="1"/>
  <c r="D13" i="24"/>
  <c r="D83" i="24" s="1"/>
  <c r="S14" i="48"/>
  <c r="S26" i="19" s="1"/>
  <c r="D5" i="48"/>
  <c r="S38" i="58"/>
  <c r="S42" i="58" s="1"/>
  <c r="S44" i="58" s="1"/>
  <c r="D60" i="24"/>
  <c r="T26" i="58"/>
  <c r="T45" i="58" s="1"/>
  <c r="R16" i="25"/>
  <c r="R17" i="25" s="1"/>
  <c r="R23" i="17"/>
  <c r="R24" i="17" s="1"/>
  <c r="R26" i="17" s="1"/>
  <c r="R27" i="17"/>
  <c r="R34" i="19" l="1"/>
  <c r="R19" i="18"/>
  <c r="R21" i="18" s="1"/>
  <c r="R22" i="18" s="1"/>
  <c r="R24" i="18" s="1"/>
  <c r="S16" i="25"/>
  <c r="D6" i="17"/>
  <c r="S27" i="17"/>
  <c r="D46" i="6" s="1"/>
  <c r="D47" i="6" s="1"/>
  <c r="T38" i="58"/>
  <c r="I47" i="6" s="1"/>
  <c r="D4" i="58"/>
  <c r="D16" i="58" s="1"/>
  <c r="S32" i="19"/>
  <c r="D15" i="19" s="1"/>
  <c r="D11" i="19"/>
  <c r="D34" i="48"/>
  <c r="S20" i="25"/>
  <c r="D22" i="48"/>
  <c r="S42" i="48"/>
  <c r="S43" i="48" s="1"/>
  <c r="D7" i="48"/>
  <c r="D10" i="25" l="1"/>
  <c r="R9" i="17"/>
  <c r="R8" i="25"/>
  <c r="F42" i="25"/>
  <c r="S9" i="17"/>
  <c r="S8" i="25"/>
  <c r="I46" i="6"/>
  <c r="S27" i="19"/>
  <c r="D9" i="19"/>
  <c r="S44" i="48"/>
  <c r="S19" i="18" s="1"/>
  <c r="D35" i="48"/>
  <c r="D36" i="48" s="1"/>
  <c r="D6" i="25"/>
  <c r="H45" i="25" s="1"/>
  <c r="H46" i="25" s="1"/>
  <c r="H47" i="25" s="1"/>
  <c r="S17" i="25"/>
  <c r="D7" i="25" s="1"/>
  <c r="D50" i="6"/>
  <c r="S22" i="17"/>
  <c r="S18" i="25"/>
  <c r="D8" i="25" l="1"/>
  <c r="G25" i="25" s="1"/>
  <c r="G26" i="25" s="1"/>
  <c r="G28" i="25" s="1"/>
  <c r="R4" i="18"/>
  <c r="R6" i="18" s="1"/>
  <c r="R10" i="18" s="1"/>
  <c r="R12" i="18" s="1"/>
  <c r="R10" i="17"/>
  <c r="R11" i="17" s="1"/>
  <c r="R13" i="17" s="1"/>
  <c r="S4" i="18"/>
  <c r="S6" i="18" s="1"/>
  <c r="S10" i="18" s="1"/>
  <c r="S12" i="18" s="1"/>
  <c r="S10" i="17"/>
  <c r="S11" i="17" s="1"/>
  <c r="S13" i="17" s="1"/>
  <c r="D51" i="6"/>
  <c r="H43" i="25"/>
  <c r="D37" i="48"/>
  <c r="S16" i="18"/>
  <c r="D9" i="17"/>
  <c r="D10" i="17" s="1"/>
  <c r="S23" i="17"/>
  <c r="S24" i="17" s="1"/>
  <c r="S33" i="19"/>
  <c r="D10" i="19"/>
  <c r="G32" i="25" l="1"/>
  <c r="G33" i="25" s="1"/>
  <c r="S34" i="19"/>
  <c r="D16" i="19"/>
  <c r="S26" i="17"/>
  <c r="D13" i="17" s="1"/>
  <c r="E28" i="17"/>
  <c r="E29" i="17"/>
  <c r="E30" i="17" s="1"/>
  <c r="S18" i="18"/>
  <c r="D4" i="18"/>
  <c r="D6" i="18" s="1"/>
  <c r="S21" i="18"/>
  <c r="D7" i="18"/>
  <c r="D9" i="18" s="1"/>
  <c r="H28" i="25"/>
  <c r="H26" i="25"/>
  <c r="G35" i="25" l="1"/>
  <c r="H35" i="25" s="1"/>
  <c r="H33" i="25"/>
  <c r="S22" i="18"/>
  <c r="S24" i="18" l="1"/>
  <c r="E26" i="18"/>
  <c r="D12" i="18" l="1"/>
  <c r="E27" i="18"/>
  <c r="E28" i="18" s="1"/>
  <c r="I48" i="6"/>
  <c r="T18" i="58" l="1"/>
  <c r="T19" i="58" s="1"/>
  <c r="T20" i="58" s="1"/>
  <c r="T22" i="58" s="1"/>
  <c r="S18" i="58"/>
  <c r="S19" i="58" s="1"/>
  <c r="S20" i="58" s="1"/>
  <c r="S22" i="58" s="1"/>
  <c r="I50" i="6"/>
  <c r="I51" i="6" s="1"/>
  <c r="T40" i="58"/>
  <c r="F48" i="58" l="1"/>
  <c r="D18" i="58"/>
  <c r="D19" i="58" s="1"/>
  <c r="T41" i="58"/>
  <c r="T42" i="58" s="1"/>
  <c r="F46" i="58" l="1"/>
  <c r="D20" i="58"/>
  <c r="T44" i="58"/>
  <c r="D22" i="58" l="1"/>
  <c r="F47" i="58"/>
  <c r="F49" i="5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Večeřa</author>
    <author>Ing. Dominik Žďánský</author>
  </authors>
  <commentList>
    <comment ref="J18" authorId="0" shapeId="0" xr:uid="{00000000-0006-0000-0000-000001000000}">
      <text>
        <r>
          <rPr>
            <sz val="9"/>
            <color indexed="81"/>
            <rFont val="Tahoma"/>
            <family val="2"/>
            <charset val="238"/>
          </rPr>
          <t>Maximálně 30 let
(Maximum 30 years)</t>
        </r>
      </text>
    </comment>
    <comment ref="N20" authorId="1" shapeId="0" xr:uid="{00000000-0006-0000-0000-000002000000}">
      <text>
        <r>
          <rPr>
            <sz val="9"/>
            <color indexed="81"/>
            <rFont val="Tahoma"/>
            <family val="2"/>
            <charset val="238"/>
          </rPr>
          <t>DPH se může měnit v čase. V případě potřeby se může DPH upravit dle skutečnosti.
(VAT varies in time. If necessary, VAT may be set according to reality.)</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Ing. Dominik Žďánský</author>
  </authors>
  <commentList>
    <comment ref="C14" authorId="0" shapeId="0" xr:uid="{00000000-0006-0000-0100-000001000000}">
      <text>
        <r>
          <rPr>
            <sz val="9"/>
            <color indexed="81"/>
            <rFont val="Tahoma"/>
            <family val="2"/>
            <charset val="238"/>
          </rPr>
          <t>DPH se může měnit v čase. V případě potřeby se může DPH upravit dle skutečnosti.
(VAT varies in time. If necessary, VAT may be set according to reality.)</t>
        </r>
      </text>
    </comment>
    <comment ref="C46" authorId="0" shapeId="0" xr:uid="{00000000-0006-0000-0100-000002000000}">
      <text>
        <r>
          <rPr>
            <sz val="9"/>
            <color indexed="81"/>
            <rFont val="Tahoma"/>
            <family val="2"/>
            <charset val="238"/>
          </rPr>
          <t>DPH se může měnit v čase. V případě potřeby se může DPH upravit dle skutečnosti.
(VAT varies in time. If necessary, VAT may be set according to reality.)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Večeřa Martin Ing. Ph.D.</author>
    <author>Vecera Martin, Ing.</author>
  </authors>
  <commentList>
    <comment ref="C7" authorId="0" shapeId="0" xr:uid="{00000000-0006-0000-0300-000001000000}">
      <text>
        <r>
          <rPr>
            <sz val="9"/>
            <color indexed="81"/>
            <rFont val="Tahoma"/>
            <family val="2"/>
            <charset val="238"/>
          </rPr>
          <t>Nevyplňovat v případě samostatně zpracovávané ekonomické analýzy silničních projektů, kdy se zároveň používá list 'Vstupy z HDM-4 a EXNAD' a v případě městských a jiných projektů zařazených do kategorie "OSTATNÍ"
Do not fill in in case of separately processed economic analysis of road projects, which also uses the sheet 'Vstupy z HDM-4 a EXNAD' and in the case of urban and other projects classified in the category 'OSTATNÍ'</t>
        </r>
      </text>
    </comment>
    <comment ref="C11" authorId="0" shapeId="0" xr:uid="{00000000-0006-0000-0300-000002000000}">
      <text>
        <r>
          <rPr>
            <sz val="9"/>
            <color indexed="81"/>
            <rFont val="Tahoma"/>
            <family val="2"/>
            <charset val="238"/>
          </rPr>
          <t>Např. trolejbusové tratě, vozovny, měnírny, objekty sloužící veřejné dopravě nebo překladiště multimodální dopravy, vč. projektů ITS. Do tohoto řádku se zahrnují i provozní náklady městské silniční infrastruktury, případně dotčené části silniční infrastruktury v projektech ITS.
E.g. trolleybus lines, vehicle parks, traction substations, public transport facilities or multimodal transhipment points, incl. ITS projects. This line also includes the operating costs of the urban road infrastructure, or of the affected parts of the road infrastructure within ITS projects.</t>
        </r>
      </text>
    </comment>
    <comment ref="C12" authorId="0" shapeId="0" xr:uid="{00000000-0006-0000-0300-000003000000}">
      <text>
        <r>
          <rPr>
            <sz val="9"/>
            <color indexed="81"/>
            <rFont val="Tahoma"/>
            <family val="2"/>
            <charset val="238"/>
          </rPr>
          <t>Např. trolejbusové tratě, vozovny, měnírny, objekty sloužící veřejné dopravě nebo překladiště multimodální dopravy, vč. projektů ITS. Do tohoto řádku se zahrnují i provozní náklady městské silniční infrastruktury, případně dotčené části silniční infrastruktury v projektech ITS.
E.g. trolleybus lines, vehicle parks, traction substations, public transport facilities or multimodal transhipment points, incl. ITS projects. This line also includes the operating costs of the urban road infrastructure, or of the affected parts of the road infrastructure within ITS projects.</t>
        </r>
      </text>
    </comment>
    <comment ref="C34" authorId="0" shapeId="0" xr:uid="{00000000-0006-0000-0300-000004000000}">
      <text>
        <r>
          <rPr>
            <sz val="9"/>
            <color indexed="81"/>
            <rFont val="Tahoma"/>
            <family val="2"/>
            <charset val="238"/>
          </rPr>
          <t>Nevyplňovat v případě silničních projektů, kdy se používá list 'Vstupy z HDM-4 a EXNAD'
Do not fill in in case of road infrastructure, when list 'Vstupy z HDM-4 a EXNAD' is used</t>
        </r>
      </text>
    </comment>
    <comment ref="C35" authorId="0" shapeId="0" xr:uid="{00000000-0006-0000-0300-000005000000}">
      <text>
        <r>
          <rPr>
            <sz val="9"/>
            <color indexed="81"/>
            <rFont val="Tahoma"/>
            <family val="2"/>
            <charset val="238"/>
          </rPr>
          <t>Nevyplňovat v případě silničních projektů, kdy se používá list 'Vstupy z HDM-4 a EXNAD'
Do not fill in in case of road infrastructure, when list 'Vstupy z HDM-4 a EXNAD' is used</t>
        </r>
      </text>
    </comment>
    <comment ref="C38" authorId="0" shapeId="0" xr:uid="{00000000-0006-0000-0300-000006000000}">
      <text>
        <r>
          <rPr>
            <sz val="9"/>
            <color indexed="81"/>
            <rFont val="Tahoma"/>
            <family val="2"/>
            <charset val="238"/>
          </rPr>
          <t>Např. trolejbusové tratě, vozovny, měnírny, objekty sloužící veřejné dopravě nebo překladiště multimodální dopravy, vč. projektů ITS
(E.g. trolley-bus lines, vehicle parks, traction substations, public transport facilities or multimodal transport points), including ITS projects</t>
        </r>
      </text>
    </comment>
    <comment ref="C39" authorId="0" shapeId="0" xr:uid="{00000000-0006-0000-0300-000007000000}">
      <text>
        <r>
          <rPr>
            <sz val="9"/>
            <color indexed="81"/>
            <rFont val="Tahoma"/>
            <family val="2"/>
            <charset val="238"/>
          </rPr>
          <t>Např. trolejbusové tratě, vozovny, měnírny, objekty sloužící veřejné dopravě nebo překladiště multimodální dopravy, vč. projektů ITS
(E.g. trolley-bus lines, vehicle parks, traction substations, public transport facilities or multimodal transport points), including ITS projects</t>
        </r>
      </text>
    </comment>
    <comment ref="C91" authorId="1" shapeId="0" xr:uid="{00000000-0006-0000-0300-000008000000}">
      <text>
        <r>
          <rPr>
            <b/>
            <sz val="8"/>
            <color indexed="81"/>
            <rFont val="Tahoma"/>
            <family val="2"/>
            <charset val="238"/>
          </rPr>
          <t>= dispečer (v rámci CDP)
= dispatcher (within central control room)</t>
        </r>
        <r>
          <rPr>
            <sz val="8"/>
            <color indexed="81"/>
            <rFont val="Tahoma"/>
            <family val="2"/>
            <charset val="238"/>
          </rPr>
          <t xml:space="preserve">
</t>
        </r>
      </text>
    </comment>
    <comment ref="C156" authorId="1" shapeId="0" xr:uid="{00000000-0006-0000-0300-000009000000}">
      <text>
        <r>
          <rPr>
            <sz val="8"/>
            <color indexed="81"/>
            <rFont val="Tahoma"/>
            <family val="2"/>
            <charset val="238"/>
          </rPr>
          <t xml:space="preserve">V případě </t>
        </r>
        <r>
          <rPr>
            <b/>
            <sz val="8"/>
            <color indexed="81"/>
            <rFont val="Tahoma"/>
            <family val="2"/>
            <charset val="238"/>
          </rPr>
          <t xml:space="preserve">přesunu zaměstnanců na jinou pozici a v posledním roce hodnocení </t>
        </r>
        <r>
          <rPr>
            <sz val="8"/>
            <color indexed="81"/>
            <rFont val="Tahoma"/>
            <family val="2"/>
            <charset val="238"/>
          </rPr>
          <t>nutno v příslušném roce upravit vzorec!</t>
        </r>
      </text>
    </comment>
    <comment ref="C192" authorId="1" shapeId="0" xr:uid="{00000000-0006-0000-0300-00000A000000}">
      <text>
        <r>
          <rPr>
            <sz val="8"/>
            <color indexed="81"/>
            <rFont val="Tahoma"/>
            <family val="2"/>
            <charset val="238"/>
          </rPr>
          <t xml:space="preserve">V případě </t>
        </r>
        <r>
          <rPr>
            <b/>
            <sz val="8"/>
            <color indexed="81"/>
            <rFont val="Tahoma"/>
            <family val="2"/>
            <charset val="238"/>
          </rPr>
          <t xml:space="preserve">přesunu zaměstnanců na jinou pozici a v posledním roce hodnocení </t>
        </r>
        <r>
          <rPr>
            <sz val="8"/>
            <color indexed="81"/>
            <rFont val="Tahoma"/>
            <family val="2"/>
            <charset val="238"/>
          </rPr>
          <t>nutno výpočet v příslušném roce upravit vzorec!</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Večeřa Martin Ing. Ph.D.</author>
  </authors>
  <commentList>
    <comment ref="B4" authorId="0" shapeId="0" xr:uid="{00000000-0006-0000-0500-000001000000}">
      <text>
        <r>
          <rPr>
            <sz val="9"/>
            <color indexed="81"/>
            <rFont val="Tahoma"/>
            <family val="2"/>
            <charset val="238"/>
          </rPr>
          <t>Případně METRO + TRAM
(Eventually METRO + TRAM)</t>
        </r>
      </text>
    </comment>
    <comment ref="B13" authorId="0" shapeId="0" xr:uid="{00000000-0006-0000-0500-000002000000}">
      <text>
        <r>
          <rPr>
            <sz val="9"/>
            <color indexed="81"/>
            <rFont val="Tahoma"/>
            <family val="2"/>
            <charset val="238"/>
          </rPr>
          <t>Případně METRO + TRAM
(Eventually METRO + TRAM)</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Ing. Dominik Žďánský</author>
  </authors>
  <commentList>
    <comment ref="B7" authorId="0" shapeId="0" xr:uid="{00000000-0006-0000-0700-000001000000}">
      <text>
        <r>
          <rPr>
            <sz val="9"/>
            <color indexed="81"/>
            <rFont val="Tahoma"/>
            <family val="2"/>
            <charset val="238"/>
          </rPr>
          <t>Celá přidaná hodnota takové výroby činí v ČR 35%
(The total added value of such production in Czech Republic is 35%)</t>
        </r>
      </text>
    </comment>
    <comment ref="B28" authorId="0" shapeId="0" xr:uid="{00000000-0006-0000-0700-000002000000}">
      <text>
        <r>
          <rPr>
            <sz val="9"/>
            <color indexed="81"/>
            <rFont val="Tahoma"/>
            <family val="2"/>
            <charset val="238"/>
          </rPr>
          <t>Celá přidaná hodnota takové výroby činí v ČR 35%
(The total added value of such production in Czech Republic is 35%)</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Večeřa Martin Ing. Ph.D.</author>
  </authors>
  <commentList>
    <comment ref="S29" authorId="0" shapeId="0" xr:uid="{00000000-0006-0000-0A00-000001000000}">
      <text>
        <r>
          <rPr>
            <sz val="9"/>
            <color indexed="81"/>
            <rFont val="Tahoma"/>
            <family val="2"/>
            <charset val="238"/>
          </rPr>
          <t>Položka 'OSTATNÍ' zahrnuje i projekty ITS
Item 'OSTATNÍ' includes also ITS projects</t>
        </r>
      </text>
    </comment>
    <comment ref="S30" authorId="0" shapeId="0" xr:uid="{00000000-0006-0000-0A00-000002000000}">
      <text>
        <r>
          <rPr>
            <sz val="9"/>
            <color indexed="81"/>
            <rFont val="Tahoma"/>
            <family val="2"/>
            <charset val="238"/>
          </rPr>
          <t>Položka MHD zahrnuje metro, tramvaj a trolejbus (bez městských autobusů)
Položka 'OSTATNÍ' zahrnuje i projekty ITS
Item MHD includes undergroud, tram, and trolley (without city buses).
Item 'OSTATNÍ' includes also ITS projects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Ing. Dominik Žďánský</author>
    <author>Večeřa Martin Ing. Ph.D.</author>
  </authors>
  <commentList>
    <comment ref="E4" authorId="0" shapeId="0" xr:uid="{00000000-0006-0000-0C00-000001000000}">
      <text>
        <r>
          <rPr>
            <sz val="9"/>
            <color indexed="81"/>
            <rFont val="Tahoma"/>
            <family val="2"/>
            <charset val="238"/>
          </rPr>
          <t>Dílčí konverzní faktory jsou uvedeny v tabulce 11.3. listu '11 KF'
(Partial conversion factors are shown in table 11.3. of list '11 KF')</t>
        </r>
      </text>
    </comment>
    <comment ref="E7" authorId="1" shapeId="0" xr:uid="{00000000-0006-0000-0C00-000002000000}">
      <text>
        <r>
          <rPr>
            <sz val="9"/>
            <color indexed="81"/>
            <rFont val="Tahoma"/>
            <family val="2"/>
            <charset val="238"/>
          </rPr>
          <t>Průměrný konverzní faktor železniční a silniční infrastruktury
(Average conversion factor for rail and road infrastructure)</t>
        </r>
      </text>
    </comment>
    <comment ref="E17" authorId="0" shapeId="0" xr:uid="{00000000-0006-0000-0C00-000003000000}">
      <text>
        <r>
          <rPr>
            <sz val="9"/>
            <color indexed="81"/>
            <rFont val="Tahoma"/>
            <family val="2"/>
            <charset val="238"/>
          </rPr>
          <t>Dílčí konverzní faktory jsou uvedeny v tabulce 11.3. listu '11 KF'
(Partial conversion factors are shown in table 11.3. of list '11 KF')</t>
        </r>
      </text>
    </comment>
    <comment ref="T47" authorId="1" shapeId="0" xr:uid="{00000000-0006-0000-0C00-000004000000}">
      <text>
        <r>
          <rPr>
            <sz val="9"/>
            <color indexed="81"/>
            <rFont val="Tahoma"/>
            <family val="2"/>
            <charset val="238"/>
          </rPr>
          <t>Položka 'OSTATNÍ' zahrnuje i projekty ITS
Item 'OSTATNÍ' includes also ITS projects</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marketa.roznikova</author>
  </authors>
  <commentList>
    <comment ref="D10" authorId="0" shapeId="0" xr:uid="{00000000-0006-0000-0E00-000001000000}">
      <text>
        <r>
          <rPr>
            <sz val="8"/>
            <color indexed="81"/>
            <rFont val="Tahoma"/>
            <family val="2"/>
            <charset val="238"/>
          </rPr>
          <t>Ve vzorci je již zohledněno případné vynechání úspor provozních nákladů dle čl. 61 Nařízení (EU) č. 1303/2013 
(The formula already takes into account any omission of operating cost savings under Article 61 of Regulation (EU) No 1303/2013)</t>
        </r>
      </text>
    </comment>
  </commentList>
</comments>
</file>

<file path=xl/sharedStrings.xml><?xml version="1.0" encoding="utf-8"?>
<sst xmlns="http://schemas.openxmlformats.org/spreadsheetml/2006/main" count="1987" uniqueCount="1418">
  <si>
    <t>EUR</t>
  </si>
  <si>
    <t xml:space="preserve">Cash Flow </t>
  </si>
  <si>
    <t xml:space="preserve"> </t>
  </si>
  <si>
    <t>CZK</t>
  </si>
  <si>
    <t>F</t>
  </si>
  <si>
    <t>A</t>
  </si>
  <si>
    <t>B</t>
  </si>
  <si>
    <t>C</t>
  </si>
  <si>
    <t>D</t>
  </si>
  <si>
    <t>E</t>
  </si>
  <si>
    <t>G</t>
  </si>
  <si>
    <t>H</t>
  </si>
  <si>
    <t>I</t>
  </si>
  <si>
    <t>J</t>
  </si>
  <si>
    <t>K</t>
  </si>
  <si>
    <t>1.1.</t>
  </si>
  <si>
    <t>1.2.</t>
  </si>
  <si>
    <t>6.1.</t>
  </si>
  <si>
    <t>7.3.</t>
  </si>
  <si>
    <t>8.1.</t>
  </si>
  <si>
    <t>8.2.</t>
  </si>
  <si>
    <t>10.1.</t>
  </si>
  <si>
    <t>9.1.</t>
  </si>
  <si>
    <t>a</t>
  </si>
  <si>
    <t>b</t>
  </si>
  <si>
    <t>7.1.</t>
  </si>
  <si>
    <t>5.1.</t>
  </si>
  <si>
    <t>4.1.</t>
  </si>
  <si>
    <t>4.2.</t>
  </si>
  <si>
    <t>4.3.</t>
  </si>
  <si>
    <t>3.1.</t>
  </si>
  <si>
    <t>3.2.</t>
  </si>
  <si>
    <t>3.3.</t>
  </si>
  <si>
    <t>2.1.</t>
  </si>
  <si>
    <t>2.2.</t>
  </si>
  <si>
    <t>Diskontní sazba</t>
  </si>
  <si>
    <t>Celkové investiční náklady</t>
  </si>
  <si>
    <t>Zůstatková hodnota</t>
  </si>
  <si>
    <t>Komentáře</t>
  </si>
  <si>
    <t>Celkem</t>
  </si>
  <si>
    <t>Náklady na řízení provozu</t>
  </si>
  <si>
    <t>Celkové provozní náklady</t>
  </si>
  <si>
    <t>S projektem</t>
  </si>
  <si>
    <t>Bez projektu</t>
  </si>
  <si>
    <t>Náklady na údržbu a opravy</t>
  </si>
  <si>
    <t>Redukce přírůstkových provozních nákladů</t>
  </si>
  <si>
    <t>Redukce dotací</t>
  </si>
  <si>
    <t>Kalkulace finančního vnitřního výnosového procenta</t>
  </si>
  <si>
    <t>Celkové náklady</t>
  </si>
  <si>
    <t>Diskontované cash flow</t>
  </si>
  <si>
    <t>Kalkulace finanční mezery a přidělení</t>
  </si>
  <si>
    <t>grantu EU (CZK)</t>
  </si>
  <si>
    <t>Přírůstkové celkové provozní náklady*</t>
  </si>
  <si>
    <t>Zůstatková hodnota investice</t>
  </si>
  <si>
    <t>Diskontní faktor</t>
  </si>
  <si>
    <t>Kalkulace veřejného příspěvku (CZK) - stálé ceny</t>
  </si>
  <si>
    <t>Míra spolufinancování prioritních os (%)</t>
  </si>
  <si>
    <t>Kontrolní suma*</t>
  </si>
  <si>
    <t>* kontrola souladu celk. finančních zdrojů s celk. investičními náklady</t>
  </si>
  <si>
    <t>Stálé ceny</t>
  </si>
  <si>
    <t>Vlastní zdroje</t>
  </si>
  <si>
    <t>Ostatní zdroje</t>
  </si>
  <si>
    <t>Celkové zdroje žadatele</t>
  </si>
  <si>
    <t>Národní zdroje</t>
  </si>
  <si>
    <t>Úvěr (poskytnutý státní správou)</t>
  </si>
  <si>
    <t>Zdroje státního rozpočtu</t>
  </si>
  <si>
    <t>Granty EU</t>
  </si>
  <si>
    <t>Celkové finanční zdroje</t>
  </si>
  <si>
    <t>Udržitelnost projektu (CZK)</t>
  </si>
  <si>
    <t>Úvěry</t>
  </si>
  <si>
    <t>Dotace</t>
  </si>
  <si>
    <t>Celkové příjmy</t>
  </si>
  <si>
    <t>Celkové výdaje</t>
  </si>
  <si>
    <t>Cash Flow pro příslušný rok</t>
  </si>
  <si>
    <t xml:space="preserve">Kumulované Cash Flow </t>
  </si>
  <si>
    <t>Splácení jistiny úvěru</t>
  </si>
  <si>
    <t>Splácení úroků z úvěru</t>
  </si>
  <si>
    <t>kapitálu - FRR/K (CZK)</t>
  </si>
  <si>
    <t>Finanční čistá současná hodnota kapitálu FNPV/K (CZK)</t>
  </si>
  <si>
    <t>Finanční čistá současná hodnota kapitálu FNPV/K (EUR)</t>
  </si>
  <si>
    <t>Konstantní ceny</t>
  </si>
  <si>
    <t>Běžné ceny</t>
  </si>
  <si>
    <t>Zůstatková hodnota (záporná)</t>
  </si>
  <si>
    <t>Čisté provozní příjmy</t>
  </si>
  <si>
    <t>Přírůstkové celkové provozní příjmy**</t>
  </si>
  <si>
    <t>Míra finanční mezery ((DIC bez rezervy- čisté příjmy)/DIC bez rezervy)</t>
  </si>
  <si>
    <t>Příspěvek Společenství</t>
  </si>
  <si>
    <t xml:space="preserve">Celkové finanční zdroje (bez rezervy) </t>
  </si>
  <si>
    <t>Provozní příjmy</t>
  </si>
  <si>
    <t>Přírůstek celkových provozních příjmů</t>
  </si>
  <si>
    <t>4.5.</t>
  </si>
  <si>
    <t>Úspora provozních nákladů*</t>
  </si>
  <si>
    <t>Rezerva - vlastní zdroje</t>
  </si>
  <si>
    <t>Rezerva - EU granty</t>
  </si>
  <si>
    <t>Rezerva celkem</t>
  </si>
  <si>
    <t>3.7.</t>
  </si>
  <si>
    <t>Dozorčí provozu</t>
  </si>
  <si>
    <t>Výpravčí</t>
  </si>
  <si>
    <t>Operátor železniční dopravy</t>
  </si>
  <si>
    <t>Signalista</t>
  </si>
  <si>
    <t>Výhybkář</t>
  </si>
  <si>
    <t>Staniční dozorce</t>
  </si>
  <si>
    <t>Dozorce výhybek</t>
  </si>
  <si>
    <t>Závorář</t>
  </si>
  <si>
    <t>Závorář s prodejem jízdenek</t>
  </si>
  <si>
    <t>3.4.</t>
  </si>
  <si>
    <t>3.5.</t>
  </si>
  <si>
    <t>3.6.</t>
  </si>
  <si>
    <t>Investiční náklady (DIC) (z FA)</t>
  </si>
  <si>
    <t>6.2.</t>
  </si>
  <si>
    <t>Provozní dotace</t>
  </si>
  <si>
    <t>Čistá úspora provozních nákladů**</t>
  </si>
  <si>
    <t>6.3.</t>
  </si>
  <si>
    <t>7.2.</t>
  </si>
  <si>
    <t>Tunely</t>
  </si>
  <si>
    <t>Redukce provozních dotací</t>
  </si>
  <si>
    <t>Celkem (disk.)</t>
  </si>
  <si>
    <t>Je snížení prov. nákladů plně kompenzováno snížením dotací</t>
  </si>
  <si>
    <t>Způsobilé náklady</t>
  </si>
  <si>
    <t>Způsobilé náklady***</t>
  </si>
  <si>
    <t>Rozhodná částka (způsobilé náklady*R)</t>
  </si>
  <si>
    <t>Finanční vniřní výnosové procento kapitálu FRR/K**</t>
  </si>
  <si>
    <t>* čistá úspora prov. nákladů po odečtení úspory dotace (dle listu 6)</t>
  </si>
  <si>
    <t>Příspěvky žadatele + národní zdroje</t>
  </si>
  <si>
    <t>*** jedná se o procentuální odhad způsobilých nákladů ve stálých cenách, který vychází ze skutečného poměru způsobilých a nezpůsobilých nákladů v běžných cenách z tabulky způsobilosti nákladů (list "1 Celkové investiční náklady" tabulka 1.2)</t>
  </si>
  <si>
    <t>Kalkulace veřejného příspěvku (CZK) - běžné ceny</t>
  </si>
  <si>
    <t>* v případě vynechání dle čl. 61 Nařízení (EU) č. 1303/2013, musí být poskytnuta ukázka úměrného snížení dotací na základě shody s hodnotami cash-flow z tabulky "Provozní náklady"</t>
  </si>
  <si>
    <t>SILNIČNÍ INFRASTRUKTURA</t>
  </si>
  <si>
    <t>-</t>
  </si>
  <si>
    <t>VODNÍ INFRASTRUKTURA</t>
  </si>
  <si>
    <t>Silnice</t>
  </si>
  <si>
    <t>Celkem externality</t>
  </si>
  <si>
    <t>Celkem investiční náklady bez rezervy</t>
  </si>
  <si>
    <t>Diskontní cash flow</t>
  </si>
  <si>
    <t>Ekonomické vnitřní výnosové procento ERR</t>
  </si>
  <si>
    <t>Ekonomická čistá současná hodnota ENPV (CZK)</t>
  </si>
  <si>
    <t>Rentabilita nákladů</t>
  </si>
  <si>
    <t>Ekonomická čistá současná hodnota ENPV (EUR)</t>
  </si>
  <si>
    <t>nákladová složka</t>
  </si>
  <si>
    <t>KF</t>
  </si>
  <si>
    <t>5.2.</t>
  </si>
  <si>
    <t>5.3.</t>
  </si>
  <si>
    <t>5.4.</t>
  </si>
  <si>
    <t>5.5.</t>
  </si>
  <si>
    <t>5.6.</t>
  </si>
  <si>
    <t>5.7.</t>
  </si>
  <si>
    <t>5.8.</t>
  </si>
  <si>
    <t>6.4.
a</t>
  </si>
  <si>
    <t>6.4.
b</t>
  </si>
  <si>
    <t>6.7.</t>
  </si>
  <si>
    <t>6.8.</t>
  </si>
  <si>
    <t>6.9.</t>
  </si>
  <si>
    <t>6.10.</t>
  </si>
  <si>
    <t>6.11.</t>
  </si>
  <si>
    <t>6.12.</t>
  </si>
  <si>
    <t>6.13.</t>
  </si>
  <si>
    <t>6.14.</t>
  </si>
  <si>
    <t>6.16.</t>
  </si>
  <si>
    <t>9.2.</t>
  </si>
  <si>
    <t>Ekonomická analýza (CZK)</t>
  </si>
  <si>
    <t>Celkem úspory z cestovních dob</t>
  </si>
  <si>
    <t>Ostatní přínosy</t>
  </si>
  <si>
    <t>8.3.</t>
  </si>
  <si>
    <t>8.5.</t>
  </si>
  <si>
    <t>2.3. a</t>
  </si>
  <si>
    <t>2.3. b</t>
  </si>
  <si>
    <t>2.4. a</t>
  </si>
  <si>
    <t>2.4. b</t>
  </si>
  <si>
    <t>4.4.</t>
  </si>
  <si>
    <t>*</t>
  </si>
  <si>
    <t>8.4.</t>
  </si>
  <si>
    <t>14.1.</t>
  </si>
  <si>
    <t>14.2.</t>
  </si>
  <si>
    <t>14.3.</t>
  </si>
  <si>
    <t>diskontovaného čistého příjmu z operací vytvářejících čistý příjem</t>
  </si>
  <si>
    <t>15.1.</t>
  </si>
  <si>
    <t>15.2.</t>
  </si>
  <si>
    <t>16.1.</t>
  </si>
  <si>
    <t>jednotka</t>
  </si>
  <si>
    <t>55 - 59</t>
  </si>
  <si>
    <t>60 - 64</t>
  </si>
  <si>
    <t>65 - 69</t>
  </si>
  <si>
    <t>70 - 74</t>
  </si>
  <si>
    <t>75 - 79</t>
  </si>
  <si>
    <t>NM VOC</t>
  </si>
  <si>
    <r>
      <t>CO</t>
    </r>
    <r>
      <rPr>
        <b/>
        <vertAlign val="subscript"/>
        <sz val="9"/>
        <rFont val="Century Gothic"/>
        <family val="2"/>
        <charset val="238"/>
      </rPr>
      <t>2</t>
    </r>
  </si>
  <si>
    <r>
      <t>NO</t>
    </r>
    <r>
      <rPr>
        <b/>
        <vertAlign val="subscript"/>
        <sz val="9"/>
        <rFont val="Century Gothic"/>
        <family val="2"/>
        <charset val="238"/>
      </rPr>
      <t>x</t>
    </r>
  </si>
  <si>
    <r>
      <t>SO</t>
    </r>
    <r>
      <rPr>
        <b/>
        <vertAlign val="subscript"/>
        <sz val="9"/>
        <rFont val="Century Gothic"/>
        <family val="2"/>
        <charset val="238"/>
      </rPr>
      <t>2</t>
    </r>
  </si>
  <si>
    <r>
      <t>PM</t>
    </r>
    <r>
      <rPr>
        <b/>
        <vertAlign val="subscript"/>
        <sz val="9"/>
        <rFont val="Century Gothic"/>
        <family val="2"/>
        <charset val="238"/>
      </rPr>
      <t>2,5</t>
    </r>
  </si>
  <si>
    <r>
      <t>PM</t>
    </r>
    <r>
      <rPr>
        <b/>
        <vertAlign val="subscript"/>
        <sz val="9"/>
        <rFont val="Century Gothic"/>
        <family val="2"/>
        <charset val="238"/>
      </rPr>
      <t>10</t>
    </r>
  </si>
  <si>
    <t>CZK/t</t>
  </si>
  <si>
    <t>Celkové vozokm / vlkm</t>
  </si>
  <si>
    <t>obsazenost, ložení</t>
  </si>
  <si>
    <t>osob/vlak</t>
  </si>
  <si>
    <t>t/vlak</t>
  </si>
  <si>
    <t>os/vozidlo</t>
  </si>
  <si>
    <t>t/vozidlo</t>
  </si>
  <si>
    <t>os/plavidlo</t>
  </si>
  <si>
    <t>t/plavidlo</t>
  </si>
  <si>
    <t>6.5.
a</t>
  </si>
  <si>
    <t>6.5.
b</t>
  </si>
  <si>
    <t>6.6.
a</t>
  </si>
  <si>
    <t>6.6.
b</t>
  </si>
  <si>
    <t>6.15.</t>
  </si>
  <si>
    <t>6.17.</t>
  </si>
  <si>
    <t>6.18.</t>
  </si>
  <si>
    <t>6.19.</t>
  </si>
  <si>
    <t>13.1.</t>
  </si>
  <si>
    <t>13.2.</t>
  </si>
  <si>
    <t>13.3.</t>
  </si>
  <si>
    <t xml:space="preserve">12.1. </t>
  </si>
  <si>
    <t>Finanční analýza se provádí pro infrastrukturu</t>
  </si>
  <si>
    <t>ŽELEZNIČNÍ</t>
  </si>
  <si>
    <t>Do konsolidované finanční analýzy jsou zahrnutyprovozní náklady vozidel</t>
  </si>
  <si>
    <t>PN infrastruktury</t>
  </si>
  <si>
    <t>PN vozidel</t>
  </si>
  <si>
    <t>SILNIČNÍ</t>
  </si>
  <si>
    <t>VODNÍ</t>
  </si>
  <si>
    <t>POZEMKY</t>
  </si>
  <si>
    <t>11.1.</t>
  </si>
  <si>
    <t>PRÁCE - kvalifikovaná</t>
  </si>
  <si>
    <t>PRÁCE - nekvalifikovaná</t>
  </si>
  <si>
    <t>MATERIÁL - informační technologie</t>
  </si>
  <si>
    <t>MATERIÁL - stavební sypké hmoty (vč. betonu)</t>
  </si>
  <si>
    <t>MATERIÁL - konstrukce</t>
  </si>
  <si>
    <t>ENERGIE A POHONNÉ HMOTY</t>
  </si>
  <si>
    <t>Ostatní (SKF)</t>
  </si>
  <si>
    <t>Zisková MARŽE</t>
  </si>
  <si>
    <t>stavební práce (IN)</t>
  </si>
  <si>
    <t>informační technologie</t>
  </si>
  <si>
    <t>údržbové práce</t>
  </si>
  <si>
    <t>ZÁKLADNÍ HODNOTY KF JEDNOTLIVÝCH NÁKLADOVÝCH SLOŽEK</t>
  </si>
  <si>
    <t>11.2.</t>
  </si>
  <si>
    <t>Mosty a tunely</t>
  </si>
  <si>
    <t>Provozní budovy</t>
  </si>
  <si>
    <t>Traťové hospodářství</t>
  </si>
  <si>
    <t>Zab. a sděl. zařízení</t>
  </si>
  <si>
    <t>Elektrotechnika a energo</t>
  </si>
  <si>
    <t>Konverzní faktor -PROVOZNÍ NÁKLADY</t>
  </si>
  <si>
    <t>provozuschopnost - OPRAVY A ÚDRŽBA</t>
  </si>
  <si>
    <t>provozuschopnost - REINVESTICE</t>
  </si>
  <si>
    <t>provozování - ŘÍZENÍ DOPRAVY</t>
  </si>
  <si>
    <t>Dozorčí provozu - vedoucí směny</t>
  </si>
  <si>
    <t>Hradlař-hláskař</t>
  </si>
  <si>
    <t>Hradlař-hláskař s prodejem jízdenek</t>
  </si>
  <si>
    <t>Dělník v dopravě - staniční dělník</t>
  </si>
  <si>
    <t>provozní NÁKLADY VLAKŮ</t>
  </si>
  <si>
    <t>Náklady na pořízení vozidel</t>
  </si>
  <si>
    <t>Náklady na údržbu a opravy vozidel</t>
  </si>
  <si>
    <t>Náklady na energii</t>
  </si>
  <si>
    <t>Náklady na mzdy</t>
  </si>
  <si>
    <t>Náklady na správu a režii</t>
  </si>
  <si>
    <t>Jiné neuvedené náklady</t>
  </si>
  <si>
    <t>Dálnice</t>
  </si>
  <si>
    <t>Vodní cesta</t>
  </si>
  <si>
    <t>Zdymadla</t>
  </si>
  <si>
    <t>Náklady na pořízení plavidel</t>
  </si>
  <si>
    <t>Náklady na údržbu a opravy plavidel</t>
  </si>
  <si>
    <t>INVESTIČNÍ NÁKLADY</t>
  </si>
  <si>
    <t>železniční infrastruktura</t>
  </si>
  <si>
    <t>silniční infrastruktura</t>
  </si>
  <si>
    <t>vodní infrastruktura</t>
  </si>
  <si>
    <t>opravy a údržba</t>
  </si>
  <si>
    <t>reinvestice</t>
  </si>
  <si>
    <t>řízení dopravy</t>
  </si>
  <si>
    <t>provozní náklady vlaků</t>
  </si>
  <si>
    <t>provozní náklady plavidel</t>
  </si>
  <si>
    <t>11.3.</t>
  </si>
  <si>
    <t>Konverzní faktor -VÝSLEDNÁ HODNOTA</t>
  </si>
  <si>
    <t>Položka</t>
  </si>
  <si>
    <t>PROVOZNÍ NÁKLADY
železniční infrastruktura</t>
  </si>
  <si>
    <t>PROVOZNÍ NÁKLADY silniční infrastruktura</t>
  </si>
  <si>
    <t>PROVOZNÍ NÁKLADY
vodní infrastruktura</t>
  </si>
  <si>
    <t>Konverzní faktor může být stanoven výpočtem pro konkrétní projekt v souladu s pokyny v kapitole 5.1.3 Rezortní metodiky, případně lze použít obecné doporučené hodnoty (tabulka 11.3.)</t>
  </si>
  <si>
    <t>Celkem PN infrastruktury železnice - úspora</t>
  </si>
  <si>
    <t>Celkem PN infrastruktura silnice - úspora</t>
  </si>
  <si>
    <t>Celkem PN infrastruktura voda - úspora</t>
  </si>
  <si>
    <t>Celkem PN vozidel železnice - úspora</t>
  </si>
  <si>
    <t>Celkem PN vozidel silnice - úspora</t>
  </si>
  <si>
    <t>Celkem PN plavidel - úspora</t>
  </si>
  <si>
    <t>Celkem přínosy osobní rekreační plavby</t>
  </si>
  <si>
    <t>Investiční náklady jsou vynaloženy na infrastrukturu</t>
  </si>
  <si>
    <t>Mohou být zahrnuty i jiné přínosy a náklady dle konkrétního projektu (v takovém případě je nutné propojit řádek 13. resp. 33 s listem '9 Ostatní přínosy EA')</t>
  </si>
  <si>
    <t>Pro správné použití konverzního faktoru je nutné vybrat v buňce T43 typ investice dle dopravního módu. Pokud se jedná o kombinaci, je nutné stanovit konverzní faktor pro konkrétní projekt nebo zvolit převládající dopravní mód z hlediska výše nákladů.</t>
  </si>
  <si>
    <t>** pokud se zobrazí "CHYBA", zkonrolujte list 15 Finanční struktura</t>
  </si>
  <si>
    <t>17.1.</t>
  </si>
  <si>
    <t>English</t>
  </si>
  <si>
    <t>Technický dozor</t>
  </si>
  <si>
    <t>Technická asistence, propagace</t>
  </si>
  <si>
    <t>Výkupy pozemků a nemovitostí</t>
  </si>
  <si>
    <t>Přípravná a projektová dokumentace, průzkumy</t>
  </si>
  <si>
    <t>Objekty ochrany životního prostředí</t>
  </si>
  <si>
    <t>Úpravy vodního toku a terénní úpravy</t>
  </si>
  <si>
    <t>Inženýrské objekty (trubní vedení a kabelovody)</t>
  </si>
  <si>
    <t>Slaboproudá instalace</t>
  </si>
  <si>
    <t>Silnoproudá instalace</t>
  </si>
  <si>
    <t>Komunikace a zpevněné plochy</t>
  </si>
  <si>
    <t>Pozemní stavby</t>
  </si>
  <si>
    <t>Mosty, propustky, tunely a štoly</t>
  </si>
  <si>
    <t>Ocelové konstrukce</t>
  </si>
  <si>
    <t>Hrubé hydrotechnické konstrukce</t>
  </si>
  <si>
    <t>Přístavní zdi</t>
  </si>
  <si>
    <t xml:space="preserve">Mosty </t>
  </si>
  <si>
    <t>Zemní těleso</t>
  </si>
  <si>
    <t>Odvodňovací zařízení</t>
  </si>
  <si>
    <t>Podkladní vrstvy</t>
  </si>
  <si>
    <t>Ložná vrstva</t>
  </si>
  <si>
    <t>Obrusná vrstva</t>
  </si>
  <si>
    <t>Pozemní stavby, nástupiště a přístřešky</t>
  </si>
  <si>
    <t>Inženýrské sítě (trubní vedení, kabelovody)</t>
  </si>
  <si>
    <t>Trakce</t>
  </si>
  <si>
    <t>Mosty, propustky, zdi</t>
  </si>
  <si>
    <t>Pevná jízdní dráha</t>
  </si>
  <si>
    <t>Železniční spodek</t>
  </si>
  <si>
    <t>Železniční svršek</t>
  </si>
  <si>
    <t>Silnoproudé rozvody a zařízení</t>
  </si>
  <si>
    <t>Sdělovací zařízení</t>
  </si>
  <si>
    <t>Zabezpečovací zařízení</t>
  </si>
  <si>
    <t>VEDLEJŠÍ ROZP. NÁKLADY</t>
  </si>
  <si>
    <t>ZÁKLADNÍ ROZPOČTOVÉ NÁKLADY</t>
  </si>
  <si>
    <t>ŽELEZNIČNÍ INFRASTRUKTURA</t>
  </si>
  <si>
    <t>konstrukce</t>
  </si>
  <si>
    <t>sypké hmoty, beton…</t>
  </si>
  <si>
    <t>IT (SW, HW)</t>
  </si>
  <si>
    <t>nekvalifikovaná</t>
  </si>
  <si>
    <t>kvalifikovaná</t>
  </si>
  <si>
    <t>KF (bez ziskové marže)</t>
  </si>
  <si>
    <t>ENERGIE + PH</t>
  </si>
  <si>
    <t>MATERIÁL</t>
  </si>
  <si>
    <t>PRÁCE</t>
  </si>
  <si>
    <t>Zastoupení složky pro konverzní faktor [%]</t>
  </si>
  <si>
    <t>Náklady (CZK)</t>
  </si>
  <si>
    <t>Konverzní faktor - INVESTIČNÍ NÁKLADY</t>
  </si>
  <si>
    <t>11 KF</t>
  </si>
  <si>
    <t>Finanční čistá současná hodnota investice FNPV/C (EUR)</t>
  </si>
  <si>
    <t>Finanční čistá současná hodnota investice FNPV/C (CZK)</t>
  </si>
  <si>
    <t>Finanční vnitřní výnosové procento investice FRR/C</t>
  </si>
  <si>
    <t>Celkové invest. náklady bez rezervy</t>
  </si>
  <si>
    <t>Celkové přírůstkové provozní náklady vozidel</t>
  </si>
  <si>
    <t>Celkové přírůstkové provozní náklady infrastruktury</t>
  </si>
  <si>
    <t>Celkové výnosy</t>
  </si>
  <si>
    <t>Celkové přírůstkové provozní příjmy</t>
  </si>
  <si>
    <t>10 Finanční analýza (FRR_C)</t>
  </si>
  <si>
    <t>Mohou být zahrnuty i jiné přínosy resp. náklady v EKONOMICKÉ ANALÝZE dle konkrétního projektu. Zpracovatel uvede konkrétní vstupní hodnoty použité při výpočtu.</t>
  </si>
  <si>
    <t>Výnosy (CZK)</t>
  </si>
  <si>
    <t>Scénář bez projektu</t>
  </si>
  <si>
    <t>Celkové ostatní přínosy (CZK)</t>
  </si>
  <si>
    <t>Scénář s projektem</t>
  </si>
  <si>
    <t>9 Ostatní přínosy EA</t>
  </si>
  <si>
    <t>Celkové výkony</t>
  </si>
  <si>
    <t>Přírůstek cash-flow (CZK)</t>
  </si>
  <si>
    <t>Příjmy od uživatelů vodní dopravy - poplatky za využití infrastruktury na vodní cestě a služeb s tím spojených. Konkrétně se jedná o využití přístavišť a poskytování přístavních služeb, případně poplatků za použití plavebních stupňů. V ČR je zákonem o vodách garantovaný bezplatný přístup na vodní cestu. Na základě samotného použití vodní cesty tedy nevzniká povinnost plaby poplatků za její využití ani odpovídající příjmový finanční tok správce infrastruktury.</t>
  </si>
  <si>
    <t>Scénář bez projektu (CZK)</t>
  </si>
  <si>
    <t>Scénář s projektem (CZK)</t>
  </si>
  <si>
    <t>Přírůstek cash-flow</t>
  </si>
  <si>
    <t>Celkové přírůstkové provozní příjmy (CZK)</t>
  </si>
  <si>
    <t xml:space="preserve">Příjmy provozovatele železniční infrastruktury - poplatek za použití dopravní cesty, příjmy z přidělení kapacity dráhy, příjmy z pronájmu či prodeje ploch, pozemků či budov. Způsob stanovení jejich výše a postup výpočtu poplatku za použití dopravní cesty je součástí „Prohlášení o dráze“ vždy pro aktuální a následující rok. </t>
  </si>
  <si>
    <t>Celkové provozní příjmy (CZK)</t>
  </si>
  <si>
    <t>Ostatní příjmy</t>
  </si>
  <si>
    <t>Provozní příjmy - nákladní doprava</t>
  </si>
  <si>
    <t>Provozní příjmy - osobní doprava</t>
  </si>
  <si>
    <t>8 Tržby</t>
  </si>
  <si>
    <t>Přidaná hodnota výroby plavidel</t>
  </si>
  <si>
    <t>Přidaná hodnota a efekt mezispotřeby</t>
  </si>
  <si>
    <t>Průměrné hodnoty efektu přidané hodnoty trhu, výroby plavidel a efektu mezispotřeby byly převzaty z kapitoly 8.1.15 Rezortní metodiky. Hodnoty celkových tržeb stanoví zpracovatel na základě přepravní prognózy.</t>
  </si>
  <si>
    <t>Tržby z výroby a prodeje plavidel ze zahraničí</t>
  </si>
  <si>
    <t>Tržby z výroby a prodeje plavidel z tuzemska</t>
  </si>
  <si>
    <t>Efekt mezispotřeby</t>
  </si>
  <si>
    <t>Přidaná hodnota segmentu trhu</t>
  </si>
  <si>
    <t>Celkové tržby</t>
  </si>
  <si>
    <t>Osobní a rekreační plavba (CZK)</t>
  </si>
  <si>
    <t>7 Osobní a rekreační plavba</t>
  </si>
  <si>
    <t>Výsledný růstový koeficient externalit</t>
  </si>
  <si>
    <t>Pro navyšování měrných hodnot v čase slouží tabulka 6.19., ve které je třeba správně vyplnit první pole.</t>
  </si>
  <si>
    <t>Hodnota růstu HDP na hlavu (resp. prognóza)</t>
  </si>
  <si>
    <t>Elasticita</t>
  </si>
  <si>
    <t>Změna měrných hodnot externalit</t>
  </si>
  <si>
    <t>Pro doložení a kvantifikaci vlivu projektu na zmírnění změny klimatu, resp. znečištění životního prostředí, resp. dílčí výpočty slouží tabulky č. 6.9. - 6.18. Pro lepší oriantaci jsou tabulky každého typu polutantu barevně orámovány.</t>
  </si>
  <si>
    <t>Zmírnění změny klimatu - t PM10 / rok</t>
  </si>
  <si>
    <t>Emise škodlivin - t PM10 / rok</t>
  </si>
  <si>
    <t>Zmírnění změny klimatu - t PM2,5 / rok</t>
  </si>
  <si>
    <t>způsob obdobně doložen měrnými hodnotami a jejich zdrojem. Pokud jsou data přímo převzata např. jako výstup z HDM-4 nebo EXNAD, mělo by to být uvedeno a zároveň musí být aplikována změna měrných hodnot dle tab. 6.19.</t>
  </si>
  <si>
    <t>Emise škodlivin - t PM2,5 / rok</t>
  </si>
  <si>
    <t>Zmírnění změny klimatu - t SO2 / rok</t>
  </si>
  <si>
    <t>Emise škodlivin - t SO2 / rok</t>
  </si>
  <si>
    <t>V tabulce 6.1. a  6.2. uvede zpracovatel konkrétní výpočet pomocí vzorců, s odkazem na tabulky výkonů (tabulka 6.7. a 6.8.) a měrného ohodnocení (tabulka 6.4., 6.5. a 6.6.). V případě použití jiného způsobu výpočtu musí být tento</t>
  </si>
  <si>
    <t>Zmírnění změny klimatu - t NOx / rok</t>
  </si>
  <si>
    <t>Emise škodlivin - t NOx / rok</t>
  </si>
  <si>
    <t>Zmírnění změny klimatu - t CO2 / rok</t>
  </si>
  <si>
    <t>Zpracovatel uvede konkrétní hodnoty výstupů z dopravního prognózování použité při výpočtu externích nákladů. Tabulky 6.7. a 6.8. je možné přizpůsobit konkrétnímu projektu, resp. vyplnit pouze řádky týkající se projektu.</t>
  </si>
  <si>
    <t>OSTATNÍ nákladní doprava</t>
  </si>
  <si>
    <t>OSTATNÍ osobní doprava</t>
  </si>
  <si>
    <t>VODNÍ nákladní doprava</t>
  </si>
  <si>
    <t>SILNIČNÍ nákladní doprava</t>
  </si>
  <si>
    <t>SILNIČNÍ osobní doprava</t>
  </si>
  <si>
    <t>ŽELEZNIČNÍ nákladní doprava</t>
  </si>
  <si>
    <t>ŽELEZNIČNÍ osobní doprava</t>
  </si>
  <si>
    <t>Emise škodlivin - t CO2 / rok</t>
  </si>
  <si>
    <t>SILNIČNÍ
DOPRAVA</t>
  </si>
  <si>
    <t>ŽELEZNIČNÍ
DOPRAVA</t>
  </si>
  <si>
    <t>ostatní nákladní doprava</t>
  </si>
  <si>
    <t>ostatní osobní doprava</t>
  </si>
  <si>
    <t>vodní nákladní doprava</t>
  </si>
  <si>
    <t>vodní osobní doprava</t>
  </si>
  <si>
    <t>osobní - BUS</t>
  </si>
  <si>
    <t>osobní - IAD</t>
  </si>
  <si>
    <t>nákladní - ELEKTRICKÁ trakce</t>
  </si>
  <si>
    <t>nákladní - DIESLOVÁ trakce</t>
  </si>
  <si>
    <t>osobní - ELEKTRICKÁ trakce</t>
  </si>
  <si>
    <t>osobní - DIESLOVÁ trakce</t>
  </si>
  <si>
    <t>Celkové vozo / vlkm</t>
  </si>
  <si>
    <t>VODNÍ DOPRAVA [g/vozokm]</t>
  </si>
  <si>
    <t>elektrická trakce</t>
  </si>
  <si>
    <t>dieslová trakce</t>
  </si>
  <si>
    <t>CELKEM</t>
  </si>
  <si>
    <t>TNV</t>
  </si>
  <si>
    <t>LNV</t>
  </si>
  <si>
    <t>emisní faktor - NÁKLADNÍ DOPRAVA</t>
  </si>
  <si>
    <t>Pozn: město - nad 1500 obyvatel/km2; předměstí - 300 obyvatel/km2; mimo město - méně než 150 obyvatel/km2</t>
  </si>
  <si>
    <t>BUS</t>
  </si>
  <si>
    <t>IAD</t>
  </si>
  <si>
    <t>Zdroj: Aktualizovaná příručka o externích nákladech dopravy, RICARDO-AEA, zpráva pro EK, GŘ pro dopravu a mobilitu, vyd. 01/2014</t>
  </si>
  <si>
    <t>polutant</t>
  </si>
  <si>
    <t>ŽELEZNIČNÍ DOPRAVA
[g/vlkm]</t>
  </si>
  <si>
    <t>SILNIČNÍ DOPRAVA
[g/vozokm]</t>
  </si>
  <si>
    <t>dopravní mód, jednotka</t>
  </si>
  <si>
    <t>emisní faktor - OSOBNÍ DOPRAVA</t>
  </si>
  <si>
    <t>EMISNÍ FAKTORY sledovaných polutantů nákladní dopravy</t>
  </si>
  <si>
    <t>město</t>
  </si>
  <si>
    <t>předměstí</t>
  </si>
  <si>
    <t>mimo město</t>
  </si>
  <si>
    <t>plutant</t>
  </si>
  <si>
    <t>charakter zástavby</t>
  </si>
  <si>
    <t>Společenské náklady ZNEČIŠTĚNÍ ŽIVOTNÍHO PROSTŘEDÍ a emisí SKLENÍKOVÝCH PLYNŮ</t>
  </si>
  <si>
    <t>NÁKLADNÍ DOPRAVA
[CZK/1000 tkm]</t>
  </si>
  <si>
    <t>OSOBNÍ DOPRAVA
[CZK/1000 oskm]</t>
  </si>
  <si>
    <t>druh dopravy, jednotka</t>
  </si>
  <si>
    <t>Zjednodušené externí NÁKLADY HLUKU</t>
  </si>
  <si>
    <t>CZK/os/rok</t>
  </si>
  <si>
    <t>měrné hodnoty</t>
  </si>
  <si>
    <t>železnice</t>
  </si>
  <si>
    <t>silnice</t>
  </si>
  <si>
    <t>hladina hluku v dB(A)</t>
  </si>
  <si>
    <t>dopravní mód</t>
  </si>
  <si>
    <t>Společenské náklady HLUKU</t>
  </si>
  <si>
    <t>Zdroj: External Costs of Transport in Europe, Delft 2011</t>
  </si>
  <si>
    <t>měrné náklady</t>
  </si>
  <si>
    <t>železniční</t>
  </si>
  <si>
    <t>silniční CELKEM</t>
  </si>
  <si>
    <t>Zjednodušené externí NÁKLADY NEHOD</t>
  </si>
  <si>
    <t>Zdroj: Centrum dopravního výzkumu v.v.i.</t>
  </si>
  <si>
    <t>CZK/nehoda</t>
  </si>
  <si>
    <t>CZK/osoba</t>
  </si>
  <si>
    <t>měrná hodnota</t>
  </si>
  <si>
    <t>s hmotnou škodou</t>
  </si>
  <si>
    <t>s lehkým zraněním</t>
  </si>
  <si>
    <t>s těžkým zraněním</t>
  </si>
  <si>
    <t>s úmrtím</t>
  </si>
  <si>
    <t>PL</t>
  </si>
  <si>
    <t>CÚ</t>
  </si>
  <si>
    <t>nehoda</t>
  </si>
  <si>
    <t>Společenské náklady NEHODOVOSTI</t>
  </si>
  <si>
    <t>Celkem externí efekty - úspory (CZK)</t>
  </si>
  <si>
    <t>Externí náklady - scénář bez projektu (CZK)</t>
  </si>
  <si>
    <t>Externí náklady -  scénář s projektem (CZK)</t>
  </si>
  <si>
    <t>Celkem externí efekty - úspory</t>
  </si>
  <si>
    <t>Nákladní</t>
  </si>
  <si>
    <t>Osobní</t>
  </si>
  <si>
    <t>Celkové externí náklady</t>
  </si>
  <si>
    <t>Klimatické změny</t>
  </si>
  <si>
    <t>Znečištění ovzduší</t>
  </si>
  <si>
    <t>Hluk</t>
  </si>
  <si>
    <t>Nehody</t>
  </si>
  <si>
    <t>Externí náklady (CZK)</t>
  </si>
  <si>
    <t>VODNÍ os. doprava</t>
  </si>
  <si>
    <t>6 Externality</t>
  </si>
  <si>
    <t>Pro nákladní dopravu lze alternativně použít hodnoty podle dopravních módů nebo přepravovaných komodit. Podmínky jsou obsaženy v kapitole 8.1.13 Rezortní metodiky</t>
  </si>
  <si>
    <t>Výsledný růstový koef. - osobní (NEPRACOVNÍ čas) doprava</t>
  </si>
  <si>
    <t>Výsledný růstový koef. - osobní (PRACOVNÍ čas) a nákladní doprava</t>
  </si>
  <si>
    <t>Změna měrných hodnot času</t>
  </si>
  <si>
    <t>Zpracovatel uvede konkrétní hodnoty výstupů z dopravního prognózování použité při výpočtu úspor času. Tabulky 5.6. a 5.7. je možné přizpůsobit konkrétnímu projektu.</t>
  </si>
  <si>
    <t>LUV</t>
  </si>
  <si>
    <t>Nákladní - dálková</t>
  </si>
  <si>
    <t>Nákladní - regionální</t>
  </si>
  <si>
    <t>Celkové thod</t>
  </si>
  <si>
    <t>Osobní - dálková</t>
  </si>
  <si>
    <t>Osobní - příměstská</t>
  </si>
  <si>
    <t>Převed. doprava</t>
  </si>
  <si>
    <t>Indukov. doprava</t>
  </si>
  <si>
    <t>Železniční doprava</t>
  </si>
  <si>
    <t>Celkové oshod</t>
  </si>
  <si>
    <t>dlouhé</t>
  </si>
  <si>
    <t>krátké</t>
  </si>
  <si>
    <t>Poměr cest</t>
  </si>
  <si>
    <t>CZK/thod</t>
  </si>
  <si>
    <t>Vysoká přidaná hodnota</t>
  </si>
  <si>
    <t>Zdroj: "HEATCO" a „Rezortní metodika pro hodnocení ekonomické efektivnosti projektů dopravních staveb", 2017</t>
  </si>
  <si>
    <t>Běžný náklad</t>
  </si>
  <si>
    <t>Nízká přidaná hodnota</t>
  </si>
  <si>
    <t>Železnice</t>
  </si>
  <si>
    <t>Dle přepravovaných komodit</t>
  </si>
  <si>
    <t>Dle dopravního módu</t>
  </si>
  <si>
    <t>Nákladní doprava</t>
  </si>
  <si>
    <t>CZK/oshod</t>
  </si>
  <si>
    <t>Auto, vlak</t>
  </si>
  <si>
    <t>Bus</t>
  </si>
  <si>
    <t>Ostatní - dlouhá vzdálenost</t>
  </si>
  <si>
    <t>Ostatní - krátká vzdálenost</t>
  </si>
  <si>
    <t>Dlouhá dojížďka</t>
  </si>
  <si>
    <t>Krátká dojížďka</t>
  </si>
  <si>
    <t>Nepracovní čas</t>
  </si>
  <si>
    <t>Pracovní čas</t>
  </si>
  <si>
    <t>Osobní doprava</t>
  </si>
  <si>
    <t>HODNOTY ČASU</t>
  </si>
  <si>
    <t>Celkové úspory z cestovních dob (CZK)</t>
  </si>
  <si>
    <t>Úspory z cestovních dob převedené dopravy (CZK)</t>
  </si>
  <si>
    <t>Úspory z cestovních dob indukované dopravy (CZK)</t>
  </si>
  <si>
    <t>Úspory z cestovních dob v silniční dopravě dle HDM-4 (CZK)</t>
  </si>
  <si>
    <t>Úspory z cestovních dob v železniční dopravě (CZK)</t>
  </si>
  <si>
    <t>Celkové úspory z cestovních dob</t>
  </si>
  <si>
    <t>Celkové úspory z cestovních dob PŘEVEDENÉ dopravy</t>
  </si>
  <si>
    <t>Celkové úspory z cestovních dob INDUKOVANÉ dopravy</t>
  </si>
  <si>
    <t>Celkové úspory z cestovních dob v SILNIČNÍ dopravě (dle HDM-4)</t>
  </si>
  <si>
    <t>Celkové úspory z cestovních dob v ŽELEZNIČNÍ dopravě</t>
  </si>
  <si>
    <t>Celkové úspory z cestovních dob převedené dopravy</t>
  </si>
  <si>
    <t>Celkové úspory z cestovních dob indukované dopravy</t>
  </si>
  <si>
    <t>Nákladní - místní</t>
  </si>
  <si>
    <t>Celkové úspory z cestovních dob v železniční dopravě</t>
  </si>
  <si>
    <t>Úspory z cestovních dob stávající dopravy (CZK)</t>
  </si>
  <si>
    <t>SILNICE</t>
  </si>
  <si>
    <t>ŽELEZNICE</t>
  </si>
  <si>
    <t>5 Úspory času</t>
  </si>
  <si>
    <t>Přírůstkové cash-flow (CZK)</t>
  </si>
  <si>
    <t>Způsob výpočtu provozních nákladů vozidel/plavidel je uveden v kapitole 8.1.9, 8.1.10 a 8.1.11. materiálu "Rezortní metodika pro hodnocení ekonomické efektivnosti projektů dopravních staveb". V tabulce 4.1. a  4.2. uvede zpracovatel konkrétní výpočet pomocí vzorců,  s odkazem na tabulky výkonů (tabulka 4.4. a 4.5.) a měrného ohodnocení (v závislosti na použité metodě). Případně uvede odkaz na jiný způsob výpočtu (model HDM-4) či příloha č. 7 Rezortní Metodiky - Metodika PN vlaků. V případě výpočtu modelem HDM-4 mohou být uváděny provozní náklady silničních vozidel osobní a nákladní dopravy dohromady.</t>
  </si>
  <si>
    <t>Přírůstkové celkové PN vozidel</t>
  </si>
  <si>
    <t>Přírůstkové celkové provozní náklady (CZK)</t>
  </si>
  <si>
    <t>Celkové provozní náklady vozidel</t>
  </si>
  <si>
    <t>Náklady na provoz PLAVIDEL - nákladní</t>
  </si>
  <si>
    <t>Náklady na provoz PLAVIDEL - osobní</t>
  </si>
  <si>
    <t>Náklady na provoz SILNIČNÍCH vozidel - nákladní</t>
  </si>
  <si>
    <t>Náklady na provoz SILNIČNÍCH vozidel - osobní</t>
  </si>
  <si>
    <t>Náklady na provoz VLAKŮ - nákladní</t>
  </si>
  <si>
    <t xml:space="preserve">Náklady na provoz VLAKŮ - osobní </t>
  </si>
  <si>
    <t>Celkové provozní náklady (CZK)</t>
  </si>
  <si>
    <t>4 PN vozidel</t>
  </si>
  <si>
    <t>Růst reálné mzdy v dopravě</t>
  </si>
  <si>
    <t>Odstupné</t>
  </si>
  <si>
    <t>Pro vyčíslení provozních nákladů na řízení dopravy v železniční dopravě se využije přednastavených vzorců v tabulkách 3.1, 3.2 a 3.5. Zpracovatel vyplňuje pouze tabulky 3.6 a 3.7 a ověřuje správnost výpočtu odstupného. V rámci silniční a vodní dopravy neprobíhá řízení dopravy samotné, ale je realizován dohled na provoz. Tyto provozní náklady jsou v rámci sítě fixní a při realizaci nových infrastrukturních projektů nedochází k jejich změně. Do výpočtu tedy nevstupují.</t>
  </si>
  <si>
    <t>Počty zaměstnanců</t>
  </si>
  <si>
    <t>Růst nákladů na řízení provozu</t>
  </si>
  <si>
    <t>CZK/year</t>
  </si>
  <si>
    <t>CZK/rok</t>
  </si>
  <si>
    <t>základní náklady za rok práce</t>
  </si>
  <si>
    <t>mzdové náklady za rok práce</t>
  </si>
  <si>
    <t>Dělník v dopravě – staniční dělník</t>
  </si>
  <si>
    <t>Hradlář – hláskař s prodejem jízdenek</t>
  </si>
  <si>
    <t>Hradlář – hláskař</t>
  </si>
  <si>
    <t>Dozorčí provozu – vedoucí směny</t>
  </si>
  <si>
    <t>Měrné ohodnocení</t>
  </si>
  <si>
    <t>Náklady na řízení provozu - železniční doprava</t>
  </si>
  <si>
    <t>Přírůstkové celkové PN infrastruktury</t>
  </si>
  <si>
    <t>Celkové PN infrastruktury</t>
  </si>
  <si>
    <t>Náklady na opravy VODNÍ infrastruktury</t>
  </si>
  <si>
    <t>Náklady na běžnou údržbu VODNÍ infrastruktury</t>
  </si>
  <si>
    <t>Náklady na opravy - SILNIČNÍ infrastruktura</t>
  </si>
  <si>
    <t>Náklady na běžnou údržbu - SILNIČNÍ infrastruktura</t>
  </si>
  <si>
    <t>Náklady na řízení provozu - ŽELEZNIČNÍ doprava</t>
  </si>
  <si>
    <t>Reinvestice (obnova) - ŽELEZNIČNÍ infrastruktura</t>
  </si>
  <si>
    <t>Náklady na údržbu a opravy - ŽELEZNIČNÍ infrastruktura</t>
  </si>
  <si>
    <t>3 PN infrastruktury</t>
  </si>
  <si>
    <t>Diskont. zůstatková hodnota investic pro EA</t>
  </si>
  <si>
    <t>Diskontovaná zůstatková hodnota investic v EUR</t>
  </si>
  <si>
    <t>Diskont. zůstatková hodnota investic pro FA</t>
  </si>
  <si>
    <t>Ekonomický přínos v posledním roce (nediskontovaný)</t>
  </si>
  <si>
    <t>Výpočet zůstatkové hodnoty pro EA</t>
  </si>
  <si>
    <t>ZŮSTATKOVÁ HODNOTA</t>
  </si>
  <si>
    <t>Průměrný nákladový peněžní tok (nediskontovaný)</t>
  </si>
  <si>
    <t>Životnost investice po skončení hodnotícího období</t>
  </si>
  <si>
    <t>Délka provozní fáze hodnotícího období</t>
  </si>
  <si>
    <t>Celková životnost investice</t>
  </si>
  <si>
    <t>Výpočet zůstatkové hodnoty pro FA</t>
  </si>
  <si>
    <t>ekonomická životnost v letech</t>
  </si>
  <si>
    <t>Životnost jednotlivých prvků dle dopravních módů</t>
  </si>
  <si>
    <t>Celková životnost investice (roky)</t>
  </si>
  <si>
    <t>Vážení</t>
  </si>
  <si>
    <t>Ochrana životního prostředí</t>
  </si>
  <si>
    <t>Úpravy vodní cesty a terénní úpravy</t>
  </si>
  <si>
    <t>Mosty</t>
  </si>
  <si>
    <t>Ložná vrstva - netuhé asfaltové</t>
  </si>
  <si>
    <t>Obrusná vrstva - tuhé cementobetonové</t>
  </si>
  <si>
    <t>Obrusná vrstva - netuhé asfaltové</t>
  </si>
  <si>
    <t>Životnost investice (roky)</t>
  </si>
  <si>
    <t>2 ZH</t>
  </si>
  <si>
    <t>*  v případě "souboru staveb" - celkové náklady se vztahují na celý projekt</t>
  </si>
  <si>
    <t xml:space="preserve">**  jednotlivé položky odpovídají definici dle prováděcího Nařízení komise (EU) 2015/207 přílohy II, části C.1 </t>
  </si>
  <si>
    <t>Celkové projektové náklady</t>
  </si>
  <si>
    <t>Nezpůsobilé náklady</t>
  </si>
  <si>
    <t>Celkové invest. náklady vč. DPH (běžné ceny)</t>
  </si>
  <si>
    <t>Celkové investiční náklady (běžné ceny)</t>
  </si>
  <si>
    <t>Technická pomoc</t>
  </si>
  <si>
    <t>Dozor v průběhu provádění výstavby</t>
  </si>
  <si>
    <t>Propagace</t>
  </si>
  <si>
    <t>Úprava ceny (v příslušném případě)</t>
  </si>
  <si>
    <t>Nepředvídané události</t>
  </si>
  <si>
    <t xml:space="preserve">Prostory a strojní zařízení nebo vybavení </t>
  </si>
  <si>
    <t>Výstavba</t>
  </si>
  <si>
    <t>Nákup pozemků</t>
  </si>
  <si>
    <t>Poplatky za plány/stavební projekt</t>
  </si>
  <si>
    <t>Způsobilost nákladů **</t>
  </si>
  <si>
    <t>(běžné ceny)</t>
  </si>
  <si>
    <t>Celkové investiční náklady (CZK)</t>
  </si>
  <si>
    <t>V roce</t>
  </si>
  <si>
    <t>Celkové investiční náklady včetně DPH (konstantní ceny)</t>
  </si>
  <si>
    <t>VAT</t>
  </si>
  <si>
    <t>DPH</t>
  </si>
  <si>
    <t>Celkové investiční náklady včetně rezervy (konstantní ceny)</t>
  </si>
  <si>
    <t>Rezerva</t>
  </si>
  <si>
    <t>Celkové investiční náklady bez rezervy  (konstantní ceny)</t>
  </si>
  <si>
    <t>Stroje a zařízení</t>
  </si>
  <si>
    <t>Stavby a konstrukce (stavební náklady)</t>
  </si>
  <si>
    <t>Zábory a nákupy pozemků</t>
  </si>
  <si>
    <t>Projektová dokumentace</t>
  </si>
  <si>
    <t>(constant prices)</t>
  </si>
  <si>
    <t>(konstantní ceny)</t>
  </si>
  <si>
    <t>Total Investment Costs (CZK) *</t>
  </si>
  <si>
    <t>Celkové investiční náklady (CZK) *</t>
  </si>
  <si>
    <t>1 CIN</t>
  </si>
  <si>
    <t>Vyplnit pouze žlutě podbarvené buňky!</t>
  </si>
  <si>
    <t>růst mezd</t>
  </si>
  <si>
    <t>Růst reálných mezd</t>
  </si>
  <si>
    <t>růst HDP</t>
  </si>
  <si>
    <t>Růst HDP na hlavu</t>
  </si>
  <si>
    <t>Index cen stavebních prací</t>
  </si>
  <si>
    <t>inflace</t>
  </si>
  <si>
    <t>rok</t>
  </si>
  <si>
    <t>Míra inflace</t>
  </si>
  <si>
    <t>S PROJEKTEM</t>
  </si>
  <si>
    <t>BEZ PROJEKTU</t>
  </si>
  <si>
    <t>Hodnocené scénáře</t>
  </si>
  <si>
    <t>Exchange rate (CZK/EUR)</t>
  </si>
  <si>
    <t>Směnný kurz (CZK/EUR)</t>
  </si>
  <si>
    <t>Appraisal duration</t>
  </si>
  <si>
    <t>Doba hodnocení</t>
  </si>
  <si>
    <t>Začátek provozu</t>
  </si>
  <si>
    <t>Start of construction</t>
  </si>
  <si>
    <t>Začátek stavebních prací</t>
  </si>
  <si>
    <t>ekonomická</t>
  </si>
  <si>
    <t>financial</t>
  </si>
  <si>
    <t>finanční</t>
  </si>
  <si>
    <t>Price level (PL)</t>
  </si>
  <si>
    <t>Cenová úroveň (CÚ)</t>
  </si>
  <si>
    <t>Discount rate FA</t>
  </si>
  <si>
    <t>Diskontní sazba FA</t>
  </si>
  <si>
    <t>General information</t>
  </si>
  <si>
    <t>Základní informace</t>
  </si>
  <si>
    <t>Tento jednoduchý finanční model je součástí Rezortní metodiky pro hodnocení ekonomické efektivnosti projektů dopravních staveb (MD ČR, 2017) a slouží pro zpracování a prezentaci výstupů ekonomického hodnocení českých dopravních infrastrukturních projektů. Model je založen na analýze výnosů a nákladů a je plně v souladu s Nařízením komise (EU) 2015/207.
Na základě původního vzoru DG REGIO/F.2 zpracoval SUDOP PRAHA a.s.</t>
  </si>
  <si>
    <t>Introduction</t>
  </si>
  <si>
    <t>Úvod</t>
  </si>
  <si>
    <t>Language</t>
  </si>
  <si>
    <t>Jazyk</t>
  </si>
  <si>
    <t>verze</t>
  </si>
  <si>
    <t xml:space="preserve">Česky </t>
  </si>
  <si>
    <t>pořadí</t>
  </si>
  <si>
    <t>17 FRR_K</t>
  </si>
  <si>
    <t>16 Udržitelnost</t>
  </si>
  <si>
    <t>15 Finanční struktura</t>
  </si>
  <si>
    <t>14 Mezera ve financování</t>
  </si>
  <si>
    <t>NO</t>
  </si>
  <si>
    <t>NE</t>
  </si>
  <si>
    <t>YES</t>
  </si>
  <si>
    <t>ANO</t>
  </si>
  <si>
    <t>** rozdíl mezi poklesem provozních nákladů a poklesem provozních dotací</t>
  </si>
  <si>
    <t>13 Kontrola dotací</t>
  </si>
  <si>
    <t>12 Ekonomická analýza (ERR)</t>
  </si>
  <si>
    <t>OK</t>
  </si>
  <si>
    <t>CHYBA!</t>
  </si>
  <si>
    <t>Inženýrské sítě a komunikace</t>
  </si>
  <si>
    <t>HDM-4</t>
  </si>
  <si>
    <t>EXNAD</t>
  </si>
  <si>
    <t>hodnoty z výstupu "Project Cash Flow Summary (Discounted)"</t>
  </si>
  <si>
    <t>ext_var_0 diskontované</t>
  </si>
  <si>
    <t>ext_var_1 diskontované</t>
  </si>
  <si>
    <t xml:space="preserve">Správce </t>
  </si>
  <si>
    <t>Provozní</t>
  </si>
  <si>
    <t xml:space="preserve">Cestovní čas </t>
  </si>
  <si>
    <t>Externí náklady hluk</t>
  </si>
  <si>
    <t>Varianta bez projektu</t>
  </si>
  <si>
    <t>Varianta s projektem</t>
  </si>
  <si>
    <t>Emise VOC</t>
  </si>
  <si>
    <t>VSTUPY z EXNAD - množství škodlivin</t>
  </si>
  <si>
    <t>VSTUPY z HDM-4 a EXNAD - finanční toky</t>
  </si>
  <si>
    <t>Základní varianta = Bez projektu</t>
  </si>
  <si>
    <t>Návrhová varianta = Projektová</t>
  </si>
  <si>
    <t>[t]</t>
  </si>
  <si>
    <t>Osobní a nákladní doprava silniční (dle HDM-4)</t>
  </si>
  <si>
    <t>V tabulce 5.1., 5.2. a  5.3. uvede zpracovatel konkrétní výpočet pomocí vzorců, s odkazem na tabulky výkonů (tabulka 5.6. a 5.7.) a měrného ohodnocení (tabulka 5.5.) a vynásobí hodnoty v tabulce 5.1, 5.2 a 5.3 správnou hodnotou z tabulky 5.8</t>
  </si>
  <si>
    <t>Do žlutých polí uživatel vkládá výstupní data z výpočtu v HDM-4 a EXNAD v uvedených jednotkách. Přepočet dále proběhne automaticky v příslušných listech. Kromě nastavení základních parametrů výpočtu v listu "0 Úvod", je třeba vložit ještě investiční</t>
  </si>
  <si>
    <t>probíhá i výpočet pro nákladní dopravu v tabulkách pro osobní dopravu, protože výstup z HDM-4 a EXNAD osobní a nákladní dopravu nerozlišuje.</t>
  </si>
  <si>
    <r>
      <t>Emise PM</t>
    </r>
    <r>
      <rPr>
        <vertAlign val="subscript"/>
        <sz val="10"/>
        <rFont val="Calibri"/>
        <family val="2"/>
        <charset val="238"/>
      </rPr>
      <t>10</t>
    </r>
  </si>
  <si>
    <r>
      <t>Emise PM</t>
    </r>
    <r>
      <rPr>
        <vertAlign val="subscript"/>
        <sz val="10"/>
        <rFont val="Calibri"/>
        <family val="2"/>
        <charset val="238"/>
      </rPr>
      <t>2,5</t>
    </r>
  </si>
  <si>
    <r>
      <t>Emise SO</t>
    </r>
    <r>
      <rPr>
        <vertAlign val="subscript"/>
        <sz val="10"/>
        <rFont val="Calibri"/>
        <family val="2"/>
        <charset val="238"/>
      </rPr>
      <t>2</t>
    </r>
  </si>
  <si>
    <r>
      <t>Emise NO</t>
    </r>
    <r>
      <rPr>
        <vertAlign val="subscript"/>
        <sz val="10"/>
        <rFont val="Calibri"/>
        <family val="2"/>
        <charset val="238"/>
      </rPr>
      <t>x</t>
    </r>
  </si>
  <si>
    <r>
      <t>Emise CO</t>
    </r>
    <r>
      <rPr>
        <vertAlign val="subscript"/>
        <sz val="10"/>
        <rFont val="Calibri"/>
        <family val="2"/>
        <charset val="238"/>
      </rPr>
      <t>2</t>
    </r>
  </si>
  <si>
    <t xml:space="preserve">diskontované fin. toky v mil. Kč, CÚ </t>
  </si>
  <si>
    <t>V případě zpracování hodnocení pro silniční projekty je možné použít výstupy z HDM-4 vložené přímo do tabulky v listu "Vstupy z HDM-4 a EXNAD". Jejich přepočet se provádí automaticky a je třeba nastavit pouze hodnotu indexace v prvním roce v buňce E146.</t>
  </si>
  <si>
    <t>náklady v letech a správném členění do listů "1 CIN" a "2 ZH" (v jednotkách Kč!) a nastavit správně hodnotu koeficientu růstu úspor času a externalit v prvním roce hodnocení v tabulkách 5.8. v listu "5 Úspory času" a 6.19. v listu "6 Externality". V listu "6 Externality"</t>
  </si>
  <si>
    <t>Hrubé hydrotechnické konstrukce**</t>
  </si>
  <si>
    <t>Ocelové konstrukce***</t>
  </si>
  <si>
    <t>** hrubé hydrotechnické konstrukce jsou např. železobetonová konstrukce jezu, přehrady, vodní elektrárny konstrukce jezu, přehrady, vodní elektrárny nebo zdymadla</t>
  </si>
  <si>
    <t>*** např. vrata zdymadla, turbína a jiné</t>
  </si>
  <si>
    <t>* Při dělení nákladů stanovených v souhrnných rozpočtech se níže uvedené položky zařazují do uvedených kategorií:
- železniční přejezdy = železniční svršek,
- inženýrské sítě kabelové cizích vlastníků (telefony, datové sítě, veřejné elektrické rozvody, veř. osvětlení) = inženýrské sítě,
- ostatní technologická zařízení, např. výtahy, eskalátory, jeřáby, úpravna vody = silnoproudé rozvody a zařízení,
- přeložky a úpravy vodních toků, technické a biologické rekultivace, kácení = ochrana životního prostředí
- individuální protihluková opatření = ochrana životního prostředí,
- protihlukové stěny a protihlukové valy = ochrana životního prostředí,
- budovy objektů napájení = pozemní stavby,
- osvětlení, nízkonapěťové drážní rozvody, EOV, POV a napájení = silnoproudé rozvody a zařízení,
- všeobecné objekty = inženýrské sítě.</t>
  </si>
  <si>
    <t>Tabulky byly optimalizovány pro MS Excel 2010. Kompatibilita s předchozími verzemi MS Excel (obzvláště verzemi staršími než MS Excel 2007) není garantována (např. pokud jde o barevné rozlišení).</t>
  </si>
  <si>
    <t>Náklady na běžnou údržbu OSTATNÍ infrastruktury</t>
  </si>
  <si>
    <t>Náklady na opravy OSTATNÍ infrastruktury</t>
  </si>
  <si>
    <t>OSTATNÍ</t>
  </si>
  <si>
    <t>Celkem PN infrastruktura ostatní - úspora</t>
  </si>
  <si>
    <t>V tabulkách 3.1 a 3.2 zpracovatel přímo dopočítává a vyplňuje pouze provozní náklady na údržbu a opravy předmětné infrastruktury. Podrobněji k jednotlivým modům viz kapitola 8.1.4, 8.1.5 a 8.1.6. resp. příslušná příloha materiálu Rezortní metodika pro hodnocení ekonomické efektivnosti projektů dopravních staveb (MD ČR, 2017).</t>
  </si>
  <si>
    <t>Pro výpočet úspor času v MHD se využije sazby pro BUS, hodnoty pro tramvaje a metro se uvádějí do řádků úspory stávající železniční dopravy a hodnoty pro trolejbus do řádku pro BUS (případně dalšího volného řádku u převedené dopravy). U jednotlivých řádků je třeba doplnit odpovídající vysvětlující popis.</t>
  </si>
  <si>
    <t xml:space="preserve">Ocelové konstrukce (portálový jeřáb) </t>
  </si>
  <si>
    <t xml:space="preserve">Manipulační technika (překladače) </t>
  </si>
  <si>
    <t>Ocelové konstrukce (portálový jeřáb) ****</t>
  </si>
  <si>
    <t>Manipulační technika (překladače) ****</t>
  </si>
  <si>
    <t>**** obvyklá hodnota, přesnou životnost může zpracovatel stanovit na základě předpokládaného počtu provozních hodin (motohodin) do vyřazení stroje nebo jeho generální opravy</t>
  </si>
  <si>
    <t>Příjmy od uživatelů městské hromadné dopravy představují příjem od cestujících z jízdného vztažený k příslušnému dopravnímu výkonu.</t>
  </si>
  <si>
    <t>V případě projektů městské hromadné dopravy je třeba uvádět zvlášť provozní náklady autobusů MHD a ostatních silničních vozidel (např. IAD). Provozní náklady musí být kvůli správné funkci výpočtu finanční analýzy uvedeny v položce "Náklady na provoz SILNIČNÍCH vozidel - osobní"!</t>
  </si>
  <si>
    <t>Pro správnou funkci modelu je třeba nastavit v buňce S29 resp. S30 jaký typ infrastruktury má být zahrnut do výpočtu finanční analýzy a zda se jedná o konsolidovanou finanční analýzu zahrnující provozní náklady infrastruktury i vozidel (např. v případě projektů městské hromadné dopravy). Výchozí nastavení předpokládá analýzu pouze pro infrastrukturu.</t>
  </si>
  <si>
    <t>economic</t>
  </si>
  <si>
    <t>Start of operation</t>
  </si>
  <si>
    <t>Evaluated scenarios</t>
  </si>
  <si>
    <t xml:space="preserve">WITHOUT PROJECT  </t>
  </si>
  <si>
    <t>WITH PROJECT</t>
  </si>
  <si>
    <t>Inflation rate</t>
  </si>
  <si>
    <t>year</t>
  </si>
  <si>
    <t xml:space="preserve">inflation   </t>
  </si>
  <si>
    <t>Price index of construction works</t>
  </si>
  <si>
    <t>GDP growth per capita</t>
  </si>
  <si>
    <t xml:space="preserve">GDP growth  </t>
  </si>
  <si>
    <t>Real wage growth</t>
  </si>
  <si>
    <t>wage growth</t>
  </si>
  <si>
    <t>Fill only the yellow-coloured cells!</t>
  </si>
  <si>
    <t>1 TIC</t>
  </si>
  <si>
    <t>Design documentation</t>
  </si>
  <si>
    <t>Appropriations and land purchase</t>
  </si>
  <si>
    <t>Buildings and structures (cost of construction)</t>
  </si>
  <si>
    <t>Plant and machinery</t>
  </si>
  <si>
    <t>Technical assistance, promotion</t>
  </si>
  <si>
    <t>Technical supervision</t>
  </si>
  <si>
    <t>Total investment costs without reserve (constant prices)</t>
  </si>
  <si>
    <t>Reserve</t>
  </si>
  <si>
    <t>Total investment costs with reserve (constant prices)</t>
  </si>
  <si>
    <t>Total investment costs inclusive of VAT (constant prices)</t>
  </si>
  <si>
    <t>Total project costs</t>
  </si>
  <si>
    <t>In year</t>
  </si>
  <si>
    <t xml:space="preserve">Total investment costs (CZK)  </t>
  </si>
  <si>
    <t>(ordinary prices)</t>
  </si>
  <si>
    <t>Eligibility of costs **</t>
  </si>
  <si>
    <t>Fees for design/construction project</t>
  </si>
  <si>
    <t>Land purchase</t>
  </si>
  <si>
    <t>Construction</t>
  </si>
  <si>
    <t>Premises and machinery or equipment</t>
  </si>
  <si>
    <t>Unforeseen events</t>
  </si>
  <si>
    <t>Modification of price (in relevant case)</t>
  </si>
  <si>
    <t>Promotion</t>
  </si>
  <si>
    <t>Supervision during the construction process</t>
  </si>
  <si>
    <t xml:space="preserve">Technical assistance  </t>
  </si>
  <si>
    <t>Total investment costs (ordinary prices)</t>
  </si>
  <si>
    <t>Total invest. costs incl. VAT (ordinary prices)</t>
  </si>
  <si>
    <t>Ineligible costs</t>
  </si>
  <si>
    <t>Comments</t>
  </si>
  <si>
    <t xml:space="preserve">*  in case of "set of structures" - the total costs relate to the whole project </t>
  </si>
  <si>
    <t>2 RV</t>
  </si>
  <si>
    <t>ROAD INFRASTRUCTURE</t>
  </si>
  <si>
    <t>WATER INFRASTRUCTURE</t>
  </si>
  <si>
    <t>Investment lifetime (years)</t>
  </si>
  <si>
    <t>Signaling equipment</t>
  </si>
  <si>
    <t>Telecommunications equipment</t>
  </si>
  <si>
    <t>Heavy-current distribution lines and equipment</t>
  </si>
  <si>
    <t>Superstructure</t>
  </si>
  <si>
    <t>Substructure</t>
  </si>
  <si>
    <t>Ballastless track</t>
  </si>
  <si>
    <t>Bridges, culverts, walls</t>
  </si>
  <si>
    <t>Tunnels</t>
  </si>
  <si>
    <t>Roads and hardened areas</t>
  </si>
  <si>
    <t>Traction</t>
  </si>
  <si>
    <t>Utility networks (pipes, cables)</t>
  </si>
  <si>
    <t>Buildings, platforms and shelters</t>
  </si>
  <si>
    <t>Structures for environmental protection</t>
  </si>
  <si>
    <t>Wearing course - non-rigid asphalt</t>
  </si>
  <si>
    <t>Wearing course - rigid cement-concrete</t>
  </si>
  <si>
    <t>Base course - non-rigid asphalt</t>
  </si>
  <si>
    <t>Base layers</t>
  </si>
  <si>
    <t>Utility networks and communications</t>
  </si>
  <si>
    <t>Drainage equipment</t>
  </si>
  <si>
    <t>Track bed</t>
  </si>
  <si>
    <t>Bridges</t>
  </si>
  <si>
    <t>Quaysides</t>
  </si>
  <si>
    <t>Rough hydro-technical structures**</t>
  </si>
  <si>
    <t>Steel structures***</t>
  </si>
  <si>
    <t>Bridges, culverts, tunnels and shafts</t>
  </si>
  <si>
    <t>Buildings</t>
  </si>
  <si>
    <t>Heavy-current installations</t>
  </si>
  <si>
    <t>Light-current installations</t>
  </si>
  <si>
    <t>Utility structures (pipes, cables)</t>
  </si>
  <si>
    <t>Waterway modifications and landscaping</t>
  </si>
  <si>
    <t>Environmental protection</t>
  </si>
  <si>
    <t>TOTAL</t>
  </si>
  <si>
    <t>Costs (CZK)</t>
  </si>
  <si>
    <t>Weighing</t>
  </si>
  <si>
    <t>Investment total lifetime (years)</t>
  </si>
  <si>
    <t>Lifetime of individual elements by transport modes</t>
  </si>
  <si>
    <t>economic lifetime in years</t>
  </si>
  <si>
    <t>***e.g. lock gate, turbine, etc.</t>
  </si>
  <si>
    <t>Calculation of residual value for FA</t>
  </si>
  <si>
    <t xml:space="preserve">Investment total lifetime  </t>
  </si>
  <si>
    <t>Length of operation phase of the evaluated period</t>
  </si>
  <si>
    <t>Investment lifetime after the end of evaluation period</t>
  </si>
  <si>
    <t>Average cost cash flow (undiscounted)</t>
  </si>
  <si>
    <t>RESIDUAL VALUE</t>
  </si>
  <si>
    <t>Calculation of residual value for EA</t>
  </si>
  <si>
    <t>Economic benefit in the past year (undiscounted)</t>
  </si>
  <si>
    <t>Discount. residual value of investments for FA</t>
  </si>
  <si>
    <t>Discounted residual value of investments in EUR</t>
  </si>
  <si>
    <t>Discount. residual value of investments for EA</t>
  </si>
  <si>
    <t>3 OC of infrastructure</t>
  </si>
  <si>
    <t>Total operating costs (CZK)</t>
  </si>
  <si>
    <t xml:space="preserve">Project scenario  </t>
  </si>
  <si>
    <t>Repairs and maintenance costs - RAILWAY infrastructure</t>
  </si>
  <si>
    <t>Re-investment (renovation) - RAILWAY infrastructure</t>
  </si>
  <si>
    <t>Traffic management costs - RAILWAY infrastructure</t>
  </si>
  <si>
    <t>Maintenance costs - ROAD infrastructure</t>
  </si>
  <si>
    <t>Repair costs - ROAD infrastructure</t>
  </si>
  <si>
    <t>Maintenance costs for WATER infrastructure</t>
  </si>
  <si>
    <t>Repair costs for WATER infrastructure</t>
  </si>
  <si>
    <t xml:space="preserve">Total OC of infrastructure </t>
  </si>
  <si>
    <t>Total</t>
  </si>
  <si>
    <t>No-project scenario</t>
  </si>
  <si>
    <t>Total incremental operating costs (CZK)</t>
  </si>
  <si>
    <t xml:space="preserve">Total incremental OC of infrastructure </t>
  </si>
  <si>
    <t>Project scenario (CZK)</t>
  </si>
  <si>
    <t>No-project scenario (CZK)</t>
  </si>
  <si>
    <t>Incremental cash-flow (CZK)</t>
  </si>
  <si>
    <t>Traffic management costs - railway infrastructure</t>
  </si>
  <si>
    <t>Specific evaluation</t>
  </si>
  <si>
    <t>Operating supervisor</t>
  </si>
  <si>
    <t>Station dispatcher</t>
  </si>
  <si>
    <t>Operating supervisor -  shift manager</t>
  </si>
  <si>
    <t>Railway transport operator</t>
  </si>
  <si>
    <t>Signaler</t>
  </si>
  <si>
    <t>Switchman</t>
  </si>
  <si>
    <t>Station supervisor</t>
  </si>
  <si>
    <t>Switch supervisor</t>
  </si>
  <si>
    <t>Gate keeper</t>
  </si>
  <si>
    <t>Gate keeper with ticket sale</t>
  </si>
  <si>
    <t>Block signalman - announcer</t>
  </si>
  <si>
    <t>Block signalman - announcer with ticket sale</t>
  </si>
  <si>
    <t>Transport worker - station worker</t>
  </si>
  <si>
    <t>annual wage costs</t>
  </si>
  <si>
    <t>basic annual labour costs</t>
  </si>
  <si>
    <t>Growth of traffic management costs</t>
  </si>
  <si>
    <t>Elasticity</t>
  </si>
  <si>
    <t>Employee number</t>
  </si>
  <si>
    <t>severance pay</t>
  </si>
  <si>
    <t>Growth of real wage in transport sector</t>
  </si>
  <si>
    <t>4 OC of vehicles</t>
  </si>
  <si>
    <t>Project scenario</t>
  </si>
  <si>
    <t>Operating costs of TRAINS - passenger</t>
  </si>
  <si>
    <t>Operating costs of TRAINS - freight</t>
  </si>
  <si>
    <t>Operating costs of ROAD vehicles - passenger</t>
  </si>
  <si>
    <t>Operating costs of ROAD vehicles - freight</t>
  </si>
  <si>
    <t>Operating costs of VESSELS - passenger</t>
  </si>
  <si>
    <t>Operating costs of VESSELS - freight</t>
  </si>
  <si>
    <t>Total operating costs of vehicles</t>
  </si>
  <si>
    <t>Incremental total operating costs (CZK)</t>
  </si>
  <si>
    <t xml:space="preserve">Incremental total OC of vehicles </t>
  </si>
  <si>
    <t>Total performance</t>
  </si>
  <si>
    <t>5 Time savings</t>
  </si>
  <si>
    <t>RAILWAY</t>
  </si>
  <si>
    <t xml:space="preserve">ROADS   </t>
  </si>
  <si>
    <t>Travel time savings for existing transport (CZK)</t>
  </si>
  <si>
    <t>Passenger - suburban</t>
  </si>
  <si>
    <t>Passenger - long-distance</t>
  </si>
  <si>
    <t>Freight - local</t>
  </si>
  <si>
    <t>Freight - long-distance</t>
  </si>
  <si>
    <t>Passenger and freight road transport (under HDM-4)</t>
  </si>
  <si>
    <t>Total travel time savings for railway transport</t>
  </si>
  <si>
    <t>Travel time savings for induced traffic (CZK)</t>
  </si>
  <si>
    <t>Total travel time savings for induced traffic</t>
  </si>
  <si>
    <t>Travel time savings for transferred traffic (CZK)</t>
  </si>
  <si>
    <t>IAT</t>
  </si>
  <si>
    <t>Total travel time savings for transferred traffic</t>
  </si>
  <si>
    <t>Total travel time savings (CZK)</t>
  </si>
  <si>
    <t>Total travel time savings for RAILWAY transport</t>
  </si>
  <si>
    <t>Total travel time savings for ROAD transport (under HDM-4)</t>
  </si>
  <si>
    <t>Total travel time savings for INDUCED traffic</t>
  </si>
  <si>
    <t>Total travel time savings for TRANSFERRED traffic</t>
  </si>
  <si>
    <t>Total travel time savings</t>
  </si>
  <si>
    <t>Travel time savings for railway transport (CZK)</t>
  </si>
  <si>
    <t>Travel time savings for road transport under HDM-4 (CZK)</t>
  </si>
  <si>
    <t>VALUE OF TIME</t>
  </si>
  <si>
    <t>Passenger transport</t>
  </si>
  <si>
    <t>Working hours</t>
  </si>
  <si>
    <t>Non-working hours</t>
  </si>
  <si>
    <t>Short commute</t>
  </si>
  <si>
    <t>Long commute</t>
  </si>
  <si>
    <t>Other - short distance</t>
  </si>
  <si>
    <t>Other -  long distance</t>
  </si>
  <si>
    <t>Car, train</t>
  </si>
  <si>
    <t>CZK/pass-hours</t>
  </si>
  <si>
    <t>Freight transport</t>
  </si>
  <si>
    <t>According to transport mode</t>
  </si>
  <si>
    <t>According to transported commodities</t>
  </si>
  <si>
    <t>Roads</t>
  </si>
  <si>
    <t>Railway</t>
  </si>
  <si>
    <t>Low added value</t>
  </si>
  <si>
    <t>Common load</t>
  </si>
  <si>
    <t>High added value</t>
  </si>
  <si>
    <t>CZK/t-h</t>
  </si>
  <si>
    <t>Proportion of trips</t>
  </si>
  <si>
    <t xml:space="preserve">short   </t>
  </si>
  <si>
    <t xml:space="preserve">long  </t>
  </si>
  <si>
    <t>Total pass-hours</t>
  </si>
  <si>
    <t xml:space="preserve">Railway transport  </t>
  </si>
  <si>
    <t>Induced traffic</t>
  </si>
  <si>
    <t>Transferred traffic</t>
  </si>
  <si>
    <t>Passenger - long distance</t>
  </si>
  <si>
    <t>Total t-h</t>
  </si>
  <si>
    <t>Freight - regional</t>
  </si>
  <si>
    <t>Freight - long distance</t>
  </si>
  <si>
    <t>Change of specific value of time</t>
  </si>
  <si>
    <t>GDP growth per capita (prognosis)</t>
  </si>
  <si>
    <t>Resulting growth coef. - passenger (WORKING time) and freight transport</t>
  </si>
  <si>
    <t>Resulting growth coef. - passenger (NON-WORKING time) transport</t>
  </si>
  <si>
    <t>6 Externalities</t>
  </si>
  <si>
    <t>RAILWAY passenger transport</t>
  </si>
  <si>
    <t>RAILWAY freight transport</t>
  </si>
  <si>
    <t>ROAD passenger transport</t>
  </si>
  <si>
    <t>ROAD freight transport</t>
  </si>
  <si>
    <t>WATER pass. transport</t>
  </si>
  <si>
    <t>WATER freight transport</t>
  </si>
  <si>
    <t>OTHER passenger transport</t>
  </si>
  <si>
    <t>OTHER freight transport</t>
  </si>
  <si>
    <t>External costs (CZK)</t>
  </si>
  <si>
    <t>Accidents</t>
  </si>
  <si>
    <t>Noise</t>
  </si>
  <si>
    <t>Air pollution</t>
  </si>
  <si>
    <t>Climate change</t>
  </si>
  <si>
    <t>Total external costs</t>
  </si>
  <si>
    <t>Passenger</t>
  </si>
  <si>
    <t>Freight</t>
  </si>
  <si>
    <t>Total external effects - savings</t>
  </si>
  <si>
    <t>Total external effects - savings (CZK)</t>
  </si>
  <si>
    <t>External costs - project scenario (CZK)</t>
  </si>
  <si>
    <t>External costs - no-project scenario (CZK)</t>
  </si>
  <si>
    <t>Social costs of ACCIDENTS</t>
  </si>
  <si>
    <t xml:space="preserve">accident </t>
  </si>
  <si>
    <t>resulting in fatality</t>
  </si>
  <si>
    <t>resulting in serious injury</t>
  </si>
  <si>
    <t>resulting in light injury</t>
  </si>
  <si>
    <t>resulting in material damage</t>
  </si>
  <si>
    <t>measured value</t>
  </si>
  <si>
    <t>unit</t>
  </si>
  <si>
    <t>CZK/person</t>
  </si>
  <si>
    <t>CZK/accident</t>
  </si>
  <si>
    <t>Source: Transport Research Centre v.v.i.</t>
  </si>
  <si>
    <t>Simplified external COSTS OF ACCIDENTS</t>
  </si>
  <si>
    <t>transport mode, unit</t>
  </si>
  <si>
    <t>PASSENGER TRANSPORT[CZK/1000 passkm]</t>
  </si>
  <si>
    <t>FREIGHT TRANSPORT[CZK/1000 tonnkm]</t>
  </si>
  <si>
    <t xml:space="preserve">transport mode  </t>
  </si>
  <si>
    <t>road TOTAL</t>
  </si>
  <si>
    <t>railway</t>
  </si>
  <si>
    <t>LGV</t>
  </si>
  <si>
    <t>HGV</t>
  </si>
  <si>
    <t>specific costs</t>
  </si>
  <si>
    <t>Source: External Costs of Transport in Europe, Delft 2011</t>
  </si>
  <si>
    <t>Social costs of NOISE</t>
  </si>
  <si>
    <t>transport mode</t>
  </si>
  <si>
    <t>noise level in dB(A)</t>
  </si>
  <si>
    <t>roads</t>
  </si>
  <si>
    <t>railways</t>
  </si>
  <si>
    <t>specific values</t>
  </si>
  <si>
    <t>CZK/pass/year</t>
  </si>
  <si>
    <t>Simplified external COSTS OF NOISE</t>
  </si>
  <si>
    <t>mode of transport, unit</t>
  </si>
  <si>
    <t>Social costs of ENVIRONMENTAL POLUTTION and GREENHOUSE GAS emissions</t>
  </si>
  <si>
    <t>nature of development</t>
  </si>
  <si>
    <t>pollutant</t>
  </si>
  <si>
    <t>outside of city</t>
  </si>
  <si>
    <t>suburb</t>
  </si>
  <si>
    <t>city</t>
  </si>
  <si>
    <t>EMISSION FACTORS of monitored pollutants in freight transport</t>
  </si>
  <si>
    <t>emission factor - PASSENGER TRANSPORT</t>
  </si>
  <si>
    <t>ROAD TRANSPORT[g/vehicle-km]</t>
  </si>
  <si>
    <t>RAILWAY TRANSPORT[g/train-km]</t>
  </si>
  <si>
    <t>AIT</t>
  </si>
  <si>
    <t>diesel traction</t>
  </si>
  <si>
    <t>electric traction</t>
  </si>
  <si>
    <t>emission factor - FREIGHT TRANSPORT</t>
  </si>
  <si>
    <t>WATER TRANSPORT [g/vehicle-km]</t>
  </si>
  <si>
    <t>Total vehicle/train-km</t>
  </si>
  <si>
    <t>passenger - DIESEL traction</t>
  </si>
  <si>
    <t>passenger - ELECTRIC traction</t>
  </si>
  <si>
    <t>freight - DIESEL traction</t>
  </si>
  <si>
    <t>freight - ELECTRIC traction</t>
  </si>
  <si>
    <t>passenger - IAT</t>
  </si>
  <si>
    <t>passenger - BUS</t>
  </si>
  <si>
    <t>water passenger transport</t>
  </si>
  <si>
    <t>water freight transport</t>
  </si>
  <si>
    <t>other passenger transport</t>
  </si>
  <si>
    <t>other freight transport</t>
  </si>
  <si>
    <t>RAILWAYTRANSPORT</t>
  </si>
  <si>
    <t>ROADTRANSPORT</t>
  </si>
  <si>
    <t>Emission of pollutants - t CO2 / year</t>
  </si>
  <si>
    <t>Climate change mitigation - t CO2 / year</t>
  </si>
  <si>
    <t>Emission of pollutants - t NOx / year</t>
  </si>
  <si>
    <t>Climate change mitigation - t NOx / year</t>
  </si>
  <si>
    <t>Emission of pollutants - t SO2 / year</t>
  </si>
  <si>
    <t>Climate change mitigation - t SO2 / year</t>
  </si>
  <si>
    <t>Emission of pollutants - t PM2.5 / year</t>
  </si>
  <si>
    <t>Climate change mitigation - t PM2.5 / year</t>
  </si>
  <si>
    <t>Emission of pollutants - t PM10 / year</t>
  </si>
  <si>
    <t>Climate change mitigation - t PM10 / year</t>
  </si>
  <si>
    <t>Change in specific values of externalities</t>
  </si>
  <si>
    <t>Value of GDP per capita growth (prognosis)</t>
  </si>
  <si>
    <t>Resulting growth coefficient of externalities</t>
  </si>
  <si>
    <t>7 Passenger and recreational water transport</t>
  </si>
  <si>
    <t>Passenger and recreational water transport</t>
  </si>
  <si>
    <t>Total revenues</t>
  </si>
  <si>
    <t>Added value of the market segment</t>
  </si>
  <si>
    <t>Effect of intermediate consumption</t>
  </si>
  <si>
    <t>Revenues from manufacture and sales of vessels at home</t>
  </si>
  <si>
    <t>Revenues from manufacture and sales of vessels from abroad</t>
  </si>
  <si>
    <t>Added value of manufacture of vessels</t>
  </si>
  <si>
    <t>Added value and effect of intermediate consumption</t>
  </si>
  <si>
    <t>Incremental cash flow (CZK)</t>
  </si>
  <si>
    <t>8 Revenues</t>
  </si>
  <si>
    <t>Other revenues</t>
  </si>
  <si>
    <t>Incremental cash flow</t>
  </si>
  <si>
    <t>9 Other benefits of EA</t>
  </si>
  <si>
    <t>Other total benefits (CZK)</t>
  </si>
  <si>
    <t>Income (CZK)</t>
  </si>
  <si>
    <t>Other income or costs may also be included in the ECONOMIC ANALYSIS depending in the individual project. The author shall list the specific input values used for the calculation.</t>
  </si>
  <si>
    <t>10 Financial analysis (FRR_C)</t>
  </si>
  <si>
    <t>Calculation of financial internal rate of return</t>
  </si>
  <si>
    <t>Total incremental operating costs of infrastructure</t>
  </si>
  <si>
    <t>Total incremental operating costs of vessels</t>
  </si>
  <si>
    <t>Total invest. costs without reserve</t>
  </si>
  <si>
    <t>Residual value (negative)</t>
  </si>
  <si>
    <t>Total costs</t>
  </si>
  <si>
    <t>Cash Flow</t>
  </si>
  <si>
    <t>Discounted rate</t>
  </si>
  <si>
    <t>Discounted cash flow</t>
  </si>
  <si>
    <t>Financial internal rate of return on investment FRR/C</t>
  </si>
  <si>
    <t>Financial net present value of investment FNPV/C (CZK)</t>
  </si>
  <si>
    <t>Financial net present value of investment FNPV/C (EUR)</t>
  </si>
  <si>
    <t>Financial analysis is carried out for infrastructure</t>
  </si>
  <si>
    <t>Operating costs of vehicles are included into consolidated financial analysis</t>
  </si>
  <si>
    <t>11 CF</t>
  </si>
  <si>
    <t>Conversion factor - INVESTMENT COSTS</t>
  </si>
  <si>
    <t>Share of item for conversion factor [%]</t>
  </si>
  <si>
    <t>LABOUR</t>
  </si>
  <si>
    <t>MATERIAL</t>
  </si>
  <si>
    <t>ENERGY + FUEL</t>
  </si>
  <si>
    <t>LAND</t>
  </si>
  <si>
    <t>CF (without profit margin)</t>
  </si>
  <si>
    <t>qualified</t>
  </si>
  <si>
    <t>unqualified</t>
  </si>
  <si>
    <t>bulk materials, concrete…</t>
  </si>
  <si>
    <t>structures</t>
  </si>
  <si>
    <t xml:space="preserve">RAILWAY INFRASTRUCTURE </t>
  </si>
  <si>
    <t>BASIC BUDGET COSTS</t>
  </si>
  <si>
    <t>SECONDARY BUDGET COSTS</t>
  </si>
  <si>
    <t>Environmental protection facilities</t>
  </si>
  <si>
    <t>Preparatory and design documentation, surveys</t>
  </si>
  <si>
    <t>Purchases of land and properties</t>
  </si>
  <si>
    <t>Wearing course</t>
  </si>
  <si>
    <t>Base course</t>
  </si>
  <si>
    <t>Underlying layers</t>
  </si>
  <si>
    <t xml:space="preserve">Bridges  </t>
  </si>
  <si>
    <t>Rough hydro-technical structures</t>
  </si>
  <si>
    <t>Steel structures</t>
  </si>
  <si>
    <t xml:space="preserve">Buildings  </t>
  </si>
  <si>
    <t>Engineering objects (pipes and cables)</t>
  </si>
  <si>
    <t>Water course adjustment and landscaping</t>
  </si>
  <si>
    <t>Conversion factor - OPERATING COSTS</t>
  </si>
  <si>
    <t>operability - REPAIRS AND MAINTENANCE</t>
  </si>
  <si>
    <t>Bridges and tunnels</t>
  </si>
  <si>
    <t>Operation buildings</t>
  </si>
  <si>
    <t>Line management</t>
  </si>
  <si>
    <t>Signaling and telecommunications equipment</t>
  </si>
  <si>
    <t>Electrical and energy</t>
  </si>
  <si>
    <t>operability - REINVESTMENTS</t>
  </si>
  <si>
    <t>operability - TRAFFIC MANAGEMENT</t>
  </si>
  <si>
    <t>Block signalman-announcer</t>
  </si>
  <si>
    <t>Block signalman-announcer with ticket sale</t>
  </si>
  <si>
    <t>operating COSTS of TRAINS</t>
  </si>
  <si>
    <t>Costs of acquisition of vehicles</t>
  </si>
  <si>
    <t>Cost of maintenance and repairs of vehicles</t>
  </si>
  <si>
    <t>Energy costs</t>
  </si>
  <si>
    <t>Wage costs</t>
  </si>
  <si>
    <t>Costs of administration and overhead</t>
  </si>
  <si>
    <t>Other unspecified costs</t>
  </si>
  <si>
    <t>Road</t>
  </si>
  <si>
    <t>Motorway</t>
  </si>
  <si>
    <t>Waterway</t>
  </si>
  <si>
    <t>Lock</t>
  </si>
  <si>
    <t>Costs of acquisition of vessels</t>
  </si>
  <si>
    <t>Cost of maintenance and repairs of vessels</t>
  </si>
  <si>
    <t>BASIC CF VALUES FOR INDIVIDUAL COST ITEMS</t>
  </si>
  <si>
    <t>cost item</t>
  </si>
  <si>
    <t>LABOUR - qualified</t>
  </si>
  <si>
    <t>LABOUR - unqualified</t>
  </si>
  <si>
    <t>MATERIAL - information technology</t>
  </si>
  <si>
    <t>MATERIAL - bulk construction materials (incl. concrete)</t>
  </si>
  <si>
    <t>MATERIAL - structures</t>
  </si>
  <si>
    <t>ENERGY AND FUEL</t>
  </si>
  <si>
    <t>Other (SCF)</t>
  </si>
  <si>
    <t>Profit MARGIN</t>
  </si>
  <si>
    <t>construction works (IN)</t>
  </si>
  <si>
    <t>information technology</t>
  </si>
  <si>
    <t>maintenance works</t>
  </si>
  <si>
    <t>CF</t>
  </si>
  <si>
    <t>Conversion factor - RESULTING VALUE</t>
  </si>
  <si>
    <t>Item</t>
  </si>
  <si>
    <t>INVESTMENT COSTS</t>
  </si>
  <si>
    <t>OPERATING COSTS railway infrastructure</t>
  </si>
  <si>
    <t>OPERATING COSTS road infrastructure</t>
  </si>
  <si>
    <t>OPERATING COSTS water infrastructure</t>
  </si>
  <si>
    <t>railway infrastructure</t>
  </si>
  <si>
    <t>road infrastructure</t>
  </si>
  <si>
    <t>water infrastructure</t>
  </si>
  <si>
    <t xml:space="preserve">repairs and maintenance  </t>
  </si>
  <si>
    <t>reinvestments</t>
  </si>
  <si>
    <t>traffic management</t>
  </si>
  <si>
    <t>operating costs of trains</t>
  </si>
  <si>
    <t>operating costs of vessels</t>
  </si>
  <si>
    <t>Comment</t>
  </si>
  <si>
    <t>12 Economic analysis (ERR)</t>
  </si>
  <si>
    <t>Total OC of railway infrastructure - savings</t>
  </si>
  <si>
    <t>Total OC of road infrastructure - savings</t>
  </si>
  <si>
    <t>Total OC of water infrastructure - savings</t>
  </si>
  <si>
    <t>Total OC of railway vehicles - savings</t>
  </si>
  <si>
    <t>Total OC of road vehicles - savings</t>
  </si>
  <si>
    <t>Total OC of vessels - savings</t>
  </si>
  <si>
    <t>Total externalities</t>
  </si>
  <si>
    <t>Total benefits from passenger recreational water transport</t>
  </si>
  <si>
    <t>Other benefits</t>
  </si>
  <si>
    <t xml:space="preserve">Total investment costs without reserve  </t>
  </si>
  <si>
    <t>Discount rate</t>
  </si>
  <si>
    <t>Discount cash flow</t>
  </si>
  <si>
    <t>Economic analysis (CZK)</t>
  </si>
  <si>
    <t>Economic internal rate of return ERR</t>
  </si>
  <si>
    <t>Economic net present value ENPV (CZK)</t>
  </si>
  <si>
    <t>Profitability of costs</t>
  </si>
  <si>
    <t>Economic net present value ENPV (EUR)</t>
  </si>
  <si>
    <t>Investment costs are spent on infrastructure</t>
  </si>
  <si>
    <t>13 Subsidy control</t>
  </si>
  <si>
    <t>With project</t>
  </si>
  <si>
    <t>Repair and maintenance costs</t>
  </si>
  <si>
    <t xml:space="preserve">Traffic management costs  </t>
  </si>
  <si>
    <t>Operating subsidy</t>
  </si>
  <si>
    <t>Without project</t>
  </si>
  <si>
    <t>Reduction in subsidies</t>
  </si>
  <si>
    <t>Reduction in incremental operating costs</t>
  </si>
  <si>
    <t>Reduction of operating subsidies</t>
  </si>
  <si>
    <t>Is the reduction in operat. costs fully compensated by reduction in subsidies</t>
  </si>
  <si>
    <t>Net savings of operating costs**</t>
  </si>
  <si>
    <t xml:space="preserve">14 Gap in financing </t>
  </si>
  <si>
    <t>Financial gap calculation and allocation</t>
  </si>
  <si>
    <t>of EU grant (CZK)</t>
  </si>
  <si>
    <t>Investment costs (DIC) (from FA)</t>
  </si>
  <si>
    <t>Total incremental operation revenue**</t>
  </si>
  <si>
    <t>Total incremental operating costs*</t>
  </si>
  <si>
    <t>Net operation revenue</t>
  </si>
  <si>
    <t>Residual value of investment</t>
  </si>
  <si>
    <t>Discount factor</t>
  </si>
  <si>
    <t>Operating cost savings*</t>
  </si>
  <si>
    <t>Total (disc.)</t>
  </si>
  <si>
    <t>Calculation of public contribution - constant prices</t>
  </si>
  <si>
    <t>Ineligible costs***</t>
  </si>
  <si>
    <t>Decisive amount (eligible costs*R)</t>
  </si>
  <si>
    <t>Level of co-financing of priority os (%)</t>
  </si>
  <si>
    <t>Contribution of Union</t>
  </si>
  <si>
    <t>Eligible costs</t>
  </si>
  <si>
    <t>Calculation of public contribution - common prices</t>
  </si>
  <si>
    <t>15 Financial structure</t>
  </si>
  <si>
    <t>Constant prices</t>
  </si>
  <si>
    <t>Own resources</t>
  </si>
  <si>
    <t xml:space="preserve">Other resources </t>
  </si>
  <si>
    <t>Applicant's total resources</t>
  </si>
  <si>
    <t>Loan (provided by state administration)</t>
  </si>
  <si>
    <t>State Budget resources</t>
  </si>
  <si>
    <t>National resources</t>
  </si>
  <si>
    <t>EU grants</t>
  </si>
  <si>
    <t>Total financial resources (without a reserve)</t>
  </si>
  <si>
    <t>Reserve - own resources</t>
  </si>
  <si>
    <t>Reserve - EU grants</t>
  </si>
  <si>
    <t>Total reserve</t>
  </si>
  <si>
    <t xml:space="preserve">Total financial resources  </t>
  </si>
  <si>
    <t xml:space="preserve">Total </t>
  </si>
  <si>
    <t>Common prices</t>
  </si>
  <si>
    <t>* inspection of agreement between total financial resources and total investment costs</t>
  </si>
  <si>
    <t>Control amount*</t>
  </si>
  <si>
    <t>ERROR!</t>
  </si>
  <si>
    <t>16  Sustainability</t>
  </si>
  <si>
    <t>Project sustainability (CZK)</t>
  </si>
  <si>
    <t>Operating revenues</t>
  </si>
  <si>
    <t>Loans</t>
  </si>
  <si>
    <t>Subsidies</t>
  </si>
  <si>
    <t>Total revenue</t>
  </si>
  <si>
    <t xml:space="preserve">Total operating costs  </t>
  </si>
  <si>
    <t xml:space="preserve">Total investment costs   </t>
  </si>
  <si>
    <t>Payment of loan principal</t>
  </si>
  <si>
    <t xml:space="preserve">Payment of loan interest </t>
  </si>
  <si>
    <t>Cash Flow for the relevant year</t>
  </si>
  <si>
    <t>Cumulated Cash Flow</t>
  </si>
  <si>
    <t>on capital - FRR/K(CZK)</t>
  </si>
  <si>
    <t>Residual value</t>
  </si>
  <si>
    <t>Increment of total operating revenues</t>
  </si>
  <si>
    <t>Increment of total operating costs*</t>
  </si>
  <si>
    <t>Applicant's contribution + national resources</t>
  </si>
  <si>
    <t>Financial internal rate of return on capital FRR/K**</t>
  </si>
  <si>
    <t>Financial net present value of capital FNPV/K (CZK)</t>
  </si>
  <si>
    <t>Financial net present value of capital FNPV/K (EUR)</t>
  </si>
  <si>
    <t>* net savings of operat. costs after deduction of subsidy savings (according to sheet 6)</t>
  </si>
  <si>
    <t>** if an "ERROR" is displayed, check sheet 15 Financial structure</t>
  </si>
  <si>
    <t>Basic variant = Without project</t>
  </si>
  <si>
    <t>Proposed variant = With project</t>
  </si>
  <si>
    <t>values from "Project Cash Flow Summary (Discounted)" output</t>
  </si>
  <si>
    <t>ext_var_0 discounted</t>
  </si>
  <si>
    <t>ext_var_1 discounted</t>
  </si>
  <si>
    <t>Manager</t>
  </si>
  <si>
    <t>Operating</t>
  </si>
  <si>
    <t>Travel time</t>
  </si>
  <si>
    <t>External costs noise</t>
  </si>
  <si>
    <t>OUTPUTS from HDM-4 and EXNAD - financial flows</t>
  </si>
  <si>
    <t>OUTPUTS from EXNAD - amount of pollutants</t>
  </si>
  <si>
    <t>No-project variant</t>
  </si>
  <si>
    <t>Project variant</t>
  </si>
  <si>
    <t>Emissions PM10</t>
  </si>
  <si>
    <t>Emissions PM2,5</t>
  </si>
  <si>
    <t>Emissions SO2</t>
  </si>
  <si>
    <t>Emissions Nox</t>
  </si>
  <si>
    <t>Emissions VOC</t>
  </si>
  <si>
    <t>Emissions CO2</t>
  </si>
  <si>
    <t>discounted fin. flows in mil. CZK, PL</t>
  </si>
  <si>
    <t>Cost of usual maintenance of OTHER infrastructure</t>
  </si>
  <si>
    <t>Cost of repair of OTHER infrastructure</t>
  </si>
  <si>
    <t xml:space="preserve">Total OC of other infrastructure - savings </t>
  </si>
  <si>
    <t>OTHER</t>
  </si>
  <si>
    <t>Steel structures (gantry crane)</t>
  </si>
  <si>
    <t>Handling equipment (transshipment equipment)</t>
  </si>
  <si>
    <t>Steel structures (gantry crane) ****</t>
  </si>
  <si>
    <t>Handling equipment (transshipment equipment) ****</t>
  </si>
  <si>
    <t>**** the usual value, the exact service life can be determined by the author on the basis of the expected number of service hours (engine hours) until decommissioning or general repair of the equipment</t>
  </si>
  <si>
    <t>The tables were optimized for MS Excel 2010. Compatibility with previous versions of MS Excel (in particular, with versions older than MS Excel 2007) cannot be guaranteed (e.g. regarding colour distinction).</t>
  </si>
  <si>
    <t>** individual items correspond to the definition according to the Implemeting Commission Regulation (EU) 2015/207 annex II, part C.1</t>
  </si>
  <si>
    <t>** rough hydro-technical structures are e.g. reinforced-concrete structures of a weir, dam, hydroelectric power plant, or lock</t>
  </si>
  <si>
    <t>In table 3.1 and 3.2, the author shall directly calculate and fill in only operating costs for repairs and maintenance of the given infrastructure. For details about individual modes, see chapters 8.1.4, 8.1.5 and 8.1.6 or the relevant annexes of the Departmental Guideline for the evaluation of economic effectiveness of transport construction projects (MoT CR, 2017)</t>
  </si>
  <si>
    <t>To calculate operating costs for railway transport management, the prepared formulae in tables 3.1, 3.2 and 3.5 are used. The author fills in only the tables 3.6 and 3.7 and verified the correctness of the severance calculation. In road or water transport, there is no traffic control as such, but traffic supervision is carried out. These operating costs are fixed within the network and they do not change when implementing new infrastructure projects. They are hence not included in the calculation.</t>
  </si>
  <si>
    <t>The method of calculation for operating costs of vehicles/vessels is specified in chapter 8.1.9, 8.1.10 and 8.1.11 of the "Departmental Guideline for the evaluation of economic effectiveness of transport construction projects". In table 4.1. and 4.2., the author specifies the exact number using the equations, with reference to performance tables (table 4.4. and 4.5.) and specific evaluation (based on the method used); or specifies reference to other calculation method (model HDM-4) or annex no. 7 of the Departmental Guideline - Methodology for OC of trains. In case of calculation using the HDM-4 model, the operating costs of road passenger and freight vehicles can be listed together.</t>
  </si>
  <si>
    <t>In case of urban public transport projects, it is necessary to specify the operating costs of PuT buses and other road vehicles (AIT) separately. To ensure correct calculation of financial analysis, the operating costs must be entered into the item "Costs for operation of ROAD vehicles - passenger"!</t>
  </si>
  <si>
    <t>Source: "HEATCO" and "Departmental Guideline for the evaluation of economic effectiveness of transport construction projects", 2017</t>
  </si>
  <si>
    <t>The author shall specify the exact output values from traffic prognosis used during calculation of travel savings. The tables 5.6 and 5.7 can be adjusted to the particular project.</t>
  </si>
  <si>
    <t>In table 5.1., 5.2. and 5.3., the author specifies the exact calculation using equations, with reference to the performance tables (table 5.6. and 5.7.) and specific evaluation (table 5.5.) and multiplies the values from table 5.1, 5.2 and 5.3 by the correct value from the table 5.8</t>
  </si>
  <si>
    <t>For preparation of evaluation for road projects, it is possible to use outputs from HDM-4 inputted directly into the table in sheet "Inputs from HDM-4 and EXNAD". Their conversion is automatic and the author must set only the value of indexation for the first year in cell E146.</t>
  </si>
  <si>
    <t>For freight transport, alternatively, the values by transport mode or transported commodit may be used. The conditions are described in chapter 8.1.13 of the Departmental Guideline</t>
  </si>
  <si>
    <t>To calculate time savings in PuT, the rate for BUS is used; the values for trams and underground are listed in rows of existing railway transport savings, and values for trolleybus in row for BUS (or other available row for transferred traffic). An explanatory description must be filled in for individual rows.</t>
  </si>
  <si>
    <t>Source: Update of the Handbook on External Costs of Transport, RICARDO-AEA, Report for the EC, DG Mobility and Transport, issued 01/2014</t>
  </si>
  <si>
    <t>Note: city - over 1500 person/km2; suburbs - 300 persons/km2; outside of city - less than 150 persons/km2</t>
  </si>
  <si>
    <t>The author lists the specific values of output from traffic prognosis used during the calculation of external costs. The tables 6.7. and 6.8. can be adjusted to the specific project - it is possible to fill in only the rows related to the project.</t>
  </si>
  <si>
    <t>In table 6.1. and 6.2., the author lists the specific calculation using equations, with reference to performance tables (tables 6.7. and 6.8.) and specific evaluation (tables 6.4., 6.5. and 6.6). If other method of calculation is used, the author must</t>
  </si>
  <si>
    <t>specify the method by specific values and their source. If the data is received directly e.g. as on output from HDM-4 or EXNAD, this should be specified, and it is also necessary to apply change of specific values according to the table 6.19.</t>
  </si>
  <si>
    <t>The tables no. 6.9. - 6.18. serve for calculations, demonstration and quantification of the effect the project will have on climate change mitigation, or environmental pollution. For clarity, the tables for each type of pollutant are framed with a different colour.</t>
  </si>
  <si>
    <t>To increase specific values in time, the table 6.19. should be used, and here it is necessary to fill in the first cell.</t>
  </si>
  <si>
    <t>The average values of effects of added values of market, vessel manufacturing, and intermediate consumption effect were taken from the chapter 8.1.15 of the Departmental Guideline. The author will specify the values of total revenues based on traffic prognosis.</t>
  </si>
  <si>
    <t>The revenue of railway infrastructure operator - infrastructure fee, incomes from the assignment of railway capacity, incomes from the lease or sales of areas, land or buildings. The method of determination of its amount and the calculation procedure specified in the "Railway Declaration" always for the current and the following year.</t>
  </si>
  <si>
    <t>The revenues from water transport users - fees for using infrastructure and related services. Specifically this includes using the infrastructure of ports and provision of port services, or fees for sailing class. Free access to waterways is guaranteed in the Czech Republic by the Water Act. The infrastructure operator is therefore not entitled to any revenues from the use of waterways and users do not have the obligation to pay fees for its use.</t>
  </si>
  <si>
    <t>The revenues from users of public transport include income from users tickets related to the relevant transport performance.</t>
  </si>
  <si>
    <t>For correct function of the model, it is necessary to specify in cell S29 or S30 the type of infrastructure that should be included in the financial analysis and if this is a consolidated financial analysis that includes operating costs of infrastructure and vehicles (e.g. in cases of public urban transport projects). The initial setting expects analysis only for this infrastructure.</t>
  </si>
  <si>
    <t>The conversion factor can be determined by calculation for a specific project according to the instructions in chapter 5.1.3 of the Departmental Guideline, or the general recommended values (table 11.3.) can be used.</t>
  </si>
  <si>
    <t>For correct use of the conversion factor, it is necessary to select the type of investment by the transport mode in cell T43. If it is a combination, the conversion factor must be set for the specific project, or the transport mode prevalent from the point of view of costs must be selected.</t>
  </si>
  <si>
    <t>Other benefits and costs may also be included depending in the specific project (in such case, the row 13. or 33, must be connected with sheet "9 Other benefits of EA")</t>
  </si>
  <si>
    <t>* the revenues paid directly by users, in accordance with art. 61 (Operations that after conclusion create net profit) Regulation (EU) no. 1303/2013 and annex in Regulation (EU) no. 1303/2013 and section III of Commission Delegated Regulation (EU), where the rules for calculation are specified</t>
  </si>
  <si>
    <t>** the difference between reduction in operating costs and reduction in operating subsidies</t>
  </si>
  <si>
    <t>* if left blank, a demonstration of corresponding reduction in subsidies based on corresponding values of cash-flow from table "Operating costs" must be provided in accordance with art. 61 of Regulation (EU) no. 1303/2013</t>
  </si>
  <si>
    <t>** revenues paid directly by users, art. 61 of Regulation (EU) no. 1303/2013 and annex of Regulation (EU) no. 1303/2013 and section III from Commission Delegated Regulation (EU) no. 480/2014</t>
  </si>
  <si>
    <t>*** this is a percentage estimate of eligible costs in standard prices that is based on the actual ratio of eligible and ineligible costs in common prices from table of costs eligibility (sheet "1 Total investment costs" table 1.2)</t>
  </si>
  <si>
    <t xml:space="preserve">The author fills in the output data from calculations in HDM-4 and EXNAD in the specified units into the yellow cells. The conversion is carried out automatically in the relevant sheets. Apart from setting the basic parameters for the calculation in sheet "0 Introduction", it is also necessary to enter the investment </t>
  </si>
  <si>
    <t>costs for each year and divided corrently into sheets "1 TIC" and "2 RV" (in units of CZK!) and set the correct value of coeficients for growth of time savings and externalities in the first year of evaluation in tables 5.8. in sheet "5 Time savings" and 6.19. in sheet "6 Externalities". In the sheet "6 Externalities",</t>
  </si>
  <si>
    <t>a calculation for freight transport is carried out in tables for passenger transport, because the output from HDM-4 and EXNAD does not distinguish between passenger and freight transport.</t>
  </si>
  <si>
    <t>* When dividing costs listed in aggregate budgets, the following items are allocated to the specified categories:
- railway crossings = superstructure,
- utility networks, cable, of other owners (phones, data networks, public electric wiring, public lighting) = utility networks, 
- other technical equipment, e.g. lifts, escalators, cranes, water treatment plant = heavy-current distribution lines and equipment,
- rerouting and watercourse adjustment, technical and biologic reclamation, felling = environmental protection,
- individual noise reduction measures = environmental protection,
- noise walls and noise barriers = environmental protection,
- power supply buildings = buildings, 
- lighting, low-voltage rail cables, electrical switch heaters, POC and power supply = heavy-current distribution lines and equipment,
- general buildings = utility networks.</t>
  </si>
  <si>
    <t>Operating revenues - passenger transport</t>
  </si>
  <si>
    <t>Operating revenues - freight transport</t>
  </si>
  <si>
    <t>Total operating revenues (CZK)</t>
  </si>
  <si>
    <t>Total incremental operating revenues (CZK)</t>
  </si>
  <si>
    <t xml:space="preserve">Total incremental operating revenues </t>
  </si>
  <si>
    <t>discounted net revenue from operations that create net revenue</t>
  </si>
  <si>
    <t>occupancy, loading</t>
  </si>
  <si>
    <t>passengers/train</t>
  </si>
  <si>
    <t>t/train</t>
  </si>
  <si>
    <t>pass./vehicle</t>
  </si>
  <si>
    <t>t/vehicle</t>
  </si>
  <si>
    <t>pass./vessel</t>
  </si>
  <si>
    <t>t/vessel</t>
  </si>
  <si>
    <t>This simple financial model forms a part of the Departmental Guideline for the Evaluation of Economic Effectiveness of Transport Construction Projects (MoT CR, 2017) and serves for preparation and presentation of outputs of economic evaluation of Czech transport infrastructure projects. The model is based on analysis of revenue and costs and is in full compliance with the Commission Regulation (EU) 2015/207. 
Prepared by SUDOP PRAHA a.s. on the basis of original template by DG REGIO/F.2</t>
  </si>
  <si>
    <t>14.4.</t>
  </si>
  <si>
    <t>Nediskontované</t>
  </si>
  <si>
    <t>Diskontované</t>
  </si>
  <si>
    <t>Celkové investiční náklady - nediskontované</t>
  </si>
  <si>
    <t>Celkové investiční náklady - diskontované</t>
  </si>
  <si>
    <t>Příjmy - diskontované</t>
  </si>
  <si>
    <t>Zůstatková hodnota - nediskontované</t>
  </si>
  <si>
    <t>Zůstatková hodnota - diskontované</t>
  </si>
  <si>
    <t>Provozní náklady - diskontované</t>
  </si>
  <si>
    <t>Čisté příjmy - diskontované</t>
  </si>
  <si>
    <t>Investiční náklady mínus čisté příjmy - diskont.</t>
  </si>
  <si>
    <t>SAZBA</t>
  </si>
  <si>
    <t>FLAT RATE</t>
  </si>
  <si>
    <t>VÝPOČTEM</t>
  </si>
  <si>
    <t>Míra finanční mezery</t>
  </si>
  <si>
    <t>Příspěvek Společenství jako podíl způsobilých nákladů</t>
  </si>
  <si>
    <t>Undiscounted</t>
  </si>
  <si>
    <t>Discounted</t>
  </si>
  <si>
    <t>Výpočet míry finanční mezery (vč. DPH) - SILNIČNÍ INFRASTRUKTURA</t>
  </si>
  <si>
    <t>Total investment costs - undiscounted</t>
  </si>
  <si>
    <t>Total investment costs - discounted</t>
  </si>
  <si>
    <t>Residual value - undiscounted</t>
  </si>
  <si>
    <t>Residual value - discounted</t>
  </si>
  <si>
    <t>Revenues - discounted</t>
  </si>
  <si>
    <t>Operating costs - discounted</t>
  </si>
  <si>
    <t>Net revenues - discounted</t>
  </si>
  <si>
    <t>Investment costs less net revenue - disc.</t>
  </si>
  <si>
    <t>Rate of financial gap</t>
  </si>
  <si>
    <t>Financial gap rate calculation (incl. VAT) - ROAD INFRASTRUCTURE</t>
  </si>
  <si>
    <t>Financial gap rate ((DIC without reserve- net revenue)/DIC without reserve)</t>
  </si>
  <si>
    <t>Contribution of Union as share of eligible costs</t>
  </si>
  <si>
    <t>How to determine funding gap for ROAD infrastructure</t>
  </si>
  <si>
    <t xml:space="preserve">Způsob stanovení mezery ve financování pro SILNIČNÍ INFRASTRUKTURU: </t>
  </si>
  <si>
    <t>V případě projektů silniční infrastruktury se po nastavení buňky I51 vypočítá mezera ve financování v tabulce 14.4.</t>
  </si>
  <si>
    <t>In cases of road infrastructure projects is funding gap calculated after setting of cell I51 in table 14.4.</t>
  </si>
  <si>
    <t>Rutinní a periodická údržba - SILNIČNÍ INFRASTRUKTURA</t>
  </si>
  <si>
    <t>Routine and periodic maintenance - ROAD INFRASTRUCTURE</t>
  </si>
  <si>
    <t>Náklady na provoz SILNIČNÍCH vozidel</t>
  </si>
  <si>
    <t>Operating costs of ROAD vehicles</t>
  </si>
  <si>
    <t>Příjmy od uživatelů silniční dopravy - příjem z mýtného. Mýtné se platí za užití zpoplatněných komunikací (dálnic a vyznačených úseků silnic 1.třídy) vybranými typy nákladních vozidel. Výši sazeb mýtného a rozlišení sazeb mýtného podle kritérií stanoví příslušný prováděcí právní předpis. Příjmy zahrnují tržby z mýtného snížené o provozní náklady mýtného systému.</t>
  </si>
  <si>
    <t>The revenues from road transport users - toll income. The toll is paid for using non-free roads (motorways and designated sections of 1st class roads) by specified types of freight vehicles. The toll fee rate and the differing toll rates shall be specified by the relevant implementing legal regulation according to criteria. Revenues include income from toll fee with deduction of the operating costs of the toll system.</t>
  </si>
  <si>
    <t>** příjmy získané přímo od uživatelů,  čl. 61 Nařízení (EU) č. 1303/2013 a příloha V Nařízení (EU) č. 1303/2013 a oddíl III Nařízení Komise v přenesené pravomoci (EU) č. 480/2014</t>
  </si>
  <si>
    <t>* příjmy získané přímo od uživatelů, v souladu s čl. 61 (Operace, které po dokončení vytvářejí čistý příjem) Nařízení (EU) č. 1303/2013 a přílohou V Nařízení (EU) č. 1303/2013 a oddílem III Nařízení Komise v přenesené pravomoci (EU) č. 480/2014, v němž jsou stanovena pravidla pro výpočet</t>
  </si>
  <si>
    <t>Příjmy z poplatků za dopravní cestu (případně jízdné)*</t>
  </si>
  <si>
    <t>Revenues from infrastructure fees (possibly fare income)*</t>
  </si>
  <si>
    <t>Zdroje financování projektu (CZK)</t>
  </si>
  <si>
    <t>Sources for project financing (CZK)</t>
  </si>
  <si>
    <t>Seznam změn v rámci jednotlivých aktualizací</t>
  </si>
  <si>
    <t>- provedena oprava chybně zadané hodnoty pro životnost "Inženýrských sítí a komunikací" v silniční infrastruktuře (opraveno v buňce I20 v listu '2 ZH' ze 40 na 20 v souladu s textovou částí Metodiky)</t>
  </si>
  <si>
    <t>- odstraněny zámky některých buněk v oblastech, kam má být možné zapisovat (v různých listech)</t>
  </si>
  <si>
    <t>verze 1.05 (26. 1. 2018)</t>
  </si>
  <si>
    <t>- opravena chyba ve vzorcích v buňkách E108 - E120 v listu "3 PN Infrastruktury" (násobení při indexování po r. 2020)</t>
  </si>
  <si>
    <t>verze 1.06 (28. 2. 2018)</t>
  </si>
  <si>
    <t>- opravena chyba ve vzorcích v buňkách E108 - E120 v listu "3 PN Infrastruktury" (násobení při indexování po r. 2020 - chybné závorkování)</t>
  </si>
  <si>
    <t>- upravena závislost popisu v buňkách C61, C62 resp. C74, C75 v listu "3 PN Infrastruktury" tak, aby se popis přepnul do režimu silničních projektů i v případě, kdy je v buňce S29 v listu "10 Finanční analýza (FRR_C)" nastavena hodnota "SILNIČNÍ"</t>
  </si>
  <si>
    <t>- aktualizovány makroekonomické hodnoty v listu "0 Úvod" v souladu s hodnotami dostupnými ve Zprávě o inflaci I/2018 (ČNB)</t>
  </si>
  <si>
    <t>verze 1.07 (4. 5. 2018)</t>
  </si>
  <si>
    <t>- opravena chyba v pomocných skrytých vzorcích v buňkách F23 - T23 resp. F45 - T45 (pro výpočet zůstatkové hodnoty v ekonomické analýze) listu "12 Ekonomická analýza (ERR)" - vzorec byl doplněn tak, aby fungoval správně i pro volbu "OSTATNÍ" v buňce T47 tamtéž a zároveň byl upraven chybný odkaz v kontrolní podmínce na buňku G20 (původně G21) v listu "0 Úvod"</t>
  </si>
  <si>
    <t>- odstraněn zámek v buňce E15 v listu "12 Ekonomická analýza (ERR)" - buňka je žlutě podbarvená a uživatel do ní vyplňuje příslušný konverzní faktor, proto nemůže být zamčená</t>
  </si>
  <si>
    <t>- opraven titulek tabulky 9.2. v listu "9 Ostatní přínosy EA" (buňka C19, resp. C27 a C20, resp. C28)</t>
  </si>
  <si>
    <t>- opraven chybný odkaz v buňce D502 v listu "6 Externality"</t>
  </si>
  <si>
    <t>- aktualizovány inflační koeficienty v indexu cen stavebních prací v listu "0 Úvod" v souladu s hodnotami dostupnými v opatření SFDI č.j. 0/SFDI/320079/3552/2018</t>
  </si>
  <si>
    <t>1.08</t>
  </si>
  <si>
    <t>Název projektu</t>
  </si>
  <si>
    <t>Project name</t>
  </si>
  <si>
    <t>verze 1.08 (9. 8. 2019)</t>
  </si>
  <si>
    <t>- upraven vzhled úvodního listu (popis "název projektu", výchozí barva textu v popisu)</t>
  </si>
  <si>
    <t>- aktualizovány inflační koeficienty v indexu cen stavebních prací v listu "0 Úvod" v souladu s hodnotami dostupnými v opatření SFDI č.j. 6193/SFDI/320079/3375/2019 a ZOI I/2019 vydanou ČNB</t>
  </si>
  <si>
    <t>zdroj: Rezortní metodika pro hodnocení ekonomické efektivnosti projektů dopravních staveb (MD ČR, 2017); ČNB (Zpráva o inflaci I/2019)</t>
  </si>
  <si>
    <t>Source: The Departmental Guideline for the evaluation of economic effectiveness of transport construction projects (MoT CR, 2017); CNB (Report on inflation I/2019)</t>
  </si>
  <si>
    <t>zdroj: aktuálně platné opatření SFDI (č.j. 6193/SFDI/320079/3375/2019)</t>
  </si>
  <si>
    <t>source: currently applicable NFTI measure (ref.no. 6193/SFDI/320079/3375/2019)</t>
  </si>
  <si>
    <t>- doplněna možnost vypočítat zůstatkovou hodnotu i pro projekty s hodnotícím obdobím kratším než 15 let (úpravou vzorce v buňce I47 v listu '2 ZH')</t>
  </si>
  <si>
    <t>ŽELEZNIČNÍ A OSTATNÍ INFRASTRUKTURA*</t>
  </si>
  <si>
    <t>RAILWAY AND OTHER INFRASTRUCTURE*</t>
  </si>
  <si>
    <t>- zpřesněny popisy v listech '2 ZH' a '3 PN infrastruktury' především ve vztahu k výpočtům pro jinou než železniční, silniční a vodní infrastrukturu</t>
  </si>
  <si>
    <t>- provedeny úpravy výpočtu finanční udržitelnosti projektů MHD (nově zahrnuty i provozní náklady vozidel MHD) v listu '16 Udržitelnost'</t>
  </si>
  <si>
    <t>Náklady na provoz MĚSTSKÝCH AUTOBUSŮ</t>
  </si>
  <si>
    <t>Costs of CITY BUSES operation</t>
  </si>
  <si>
    <t>Náklady na provoz TRAMVAJÍ, TROLEJBUSŮ, METRA</t>
  </si>
  <si>
    <t>Costs of TRAM, TROLLEY, UNDERGROUND operation</t>
  </si>
  <si>
    <t>MHD</t>
  </si>
  <si>
    <t>MHD (vč. MĚSTSKÝ BUS)</t>
  </si>
  <si>
    <t>Celkem PN vozidel MHD (vč. městský BUS) - úspora</t>
  </si>
  <si>
    <t>Total OC of PuT (incl. city bus) vehicles - savings</t>
  </si>
  <si>
    <t>- předefinováno a upřesněno dělení vozidel MHD v listu '4 PN vozidel' a podle toho upraveno rolovací menu v listu '10 Finanční analýza (FRR_C)' a v navazujících listech ('12 Ekonomická analýza (ERR)', '13 Kontrola dotací')</t>
  </si>
  <si>
    <t>- do příjmů pro výpočet finanční mezery nově zahrnut i řádek "Ostatní příjmy" v listu '8 Příjmy'</t>
  </si>
  <si>
    <t>Tento list se neaplikuje v případě projektů silniční infrastruktury. V případě projektů městské dopravy a jiných s odlišnou dotační politikou je možné upravit ručně příslušná pole v tabulkách výše.</t>
  </si>
  <si>
    <t>This sheet does not apply in cases of road infrastructure projects. In the case of urban transport projects and other projects with different subsidy policies, it is possible to adjust the relevant fields in the tables above manually.</t>
  </si>
  <si>
    <t>- v listu '13 Kontrola dotací' otevřeny pro úpravy tabulky s výpoštem dotací, za účelem správného výpočtu pro městské projekty (doplněn příslušný komentář)</t>
  </si>
  <si>
    <t>- upraveno zaokrouhlování příspěvku společenství v listu '14 Mezera ve financování' (nově použit vhodnější vzorec pro počet desetinných míst)</t>
  </si>
  <si>
    <t>- upraveno formátování tabulek a chybné zámky na některých bílých polích</t>
  </si>
  <si>
    <t>- provedeny formální úpravy popisů tabulek v listu '5 Úspory času'</t>
  </si>
  <si>
    <t>* pro další roky platí v souladu s Rezortní metodikou průměrná hodnota spočtená od roku 2010 do r. 2019, tzn. inflace = 1,63%, HDP = 2,36%, mzdy = 2,29%</t>
  </si>
  <si>
    <t>* for the following years, the average value of preceeding values from 2010 to 2019 shall be valid in accordance with the Departmental Guideline, , ie. nflation = 1,63%, GDP = 2,36%, wages = 2,29%</t>
  </si>
  <si>
    <t>nákladní - LNV</t>
  </si>
  <si>
    <t>nákladní - TNV</t>
  </si>
  <si>
    <t>freight - LUV</t>
  </si>
  <si>
    <t>freight - HUV</t>
  </si>
  <si>
    <t>HUV</t>
  </si>
  <si>
    <t>Rekonstrukce nástupišť v žst. Adamov</t>
  </si>
  <si>
    <t>Jízdy náhradní autobusové dopravy</t>
  </si>
  <si>
    <t>Jízdy nákladních automobilů</t>
  </si>
  <si>
    <t>Jízdy Os vlaků (km)</t>
  </si>
  <si>
    <t>Jízdy Os vlaků (hod)</t>
  </si>
  <si>
    <t>Jízdy 1500t NEx vlaků (km)</t>
  </si>
  <si>
    <t>Jízdy 1500t NEx vlaků (hod)</t>
  </si>
  <si>
    <t>Jízdy 1700t NEx vlaků (km)</t>
  </si>
  <si>
    <t>Jízdy 1700t NEx vlaků (hod)</t>
  </si>
  <si>
    <t>Náklady náhradní autobusové dopravy</t>
  </si>
  <si>
    <t>Tato varianta vychází ze současného technického stavu trati, představuje zachování infrastruktury ve stávajícím stavu bez větších investičních akcí. Předpokládá údržbu stanice a opravy nezbytné pro udržení jejího technického stavu v provozuschopném stavu pokud možno bez výraznějšího zhoršení provozních a technických parametrů.</t>
  </si>
  <si>
    <t>Stavba je zařazena do investičních akcí na úpravu stávající infrastruktury pro možnost zavedení dálkového řízení, spočívající v náhradě stávajících úrovňových nástupišť novými nástupišti s výškou nástupní hrany 550 mm nad temenem kolejnice a s mimoúrovňovým bezbariérovým přístupem. V rámci stavby bude dále prodloužena kolej č. 3, což bude mít význam zejména pro nákladní dopravu, stávající lávka pro pěší bude zdemolována a bude vybudována lávka 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</si>
</sst>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4">
    <numFmt numFmtId="41" formatCode="_-* #,##0_-;\-* #,##0_-;_-* &quot;-&quot;_-;_-@_-"/>
    <numFmt numFmtId="164" formatCode="_-* #,##0.00\ _K_č_-;\-* #,##0.00\ _K_č_-;_-* &quot;-&quot;??\ _K_č_-;_-@_-"/>
    <numFmt numFmtId="165" formatCode="#,##0&quot;€&quot;;[Red]\-#,##0&quot;€&quot;"/>
    <numFmt numFmtId="166" formatCode="_-* #,##0.00\ _S_k_-;\-* #,##0.00\ _S_k_-;_-* &quot;-&quot;??\ _S_k_-;_-@_-"/>
    <numFmt numFmtId="167" formatCode="0.0"/>
    <numFmt numFmtId="168" formatCode="0.0%"/>
    <numFmt numFmtId="169" formatCode="#,##0.0"/>
    <numFmt numFmtId="170" formatCode="0.000"/>
    <numFmt numFmtId="171" formatCode="#,##0\ _€"/>
    <numFmt numFmtId="172" formatCode="0.000%"/>
    <numFmt numFmtId="173" formatCode="#,##0.000"/>
    <numFmt numFmtId="174" formatCode="\P\L\ 0"/>
    <numFmt numFmtId="175" formatCode="\V\A\T\ 0.0,%"/>
    <numFmt numFmtId="176" formatCode="\C\Ú\ 0"/>
    <numFmt numFmtId="177" formatCode="&quot;DPH&quot;\ 0.0,%"/>
    <numFmt numFmtId="178" formatCode="_(&quot;$&quot;* #,##0.00_);_(&quot;$&quot;* \(#,##0.00\);_(&quot;$&quot;* &quot;-&quot;??_);_(@_)"/>
    <numFmt numFmtId="179" formatCode="0;\-0;;@"/>
    <numFmt numFmtId="180" formatCode="#,##0.0000"/>
    <numFmt numFmtId="181" formatCode="00&quot; %  z mezd&quot;"/>
    <numFmt numFmtId="182" formatCode="0.0\ %"/>
    <numFmt numFmtId="183" formatCode="0.00\ %"/>
    <numFmt numFmtId="184" formatCode="#,##0.000_);\-#,##0.000"/>
    <numFmt numFmtId="185" formatCode="#,##0.00_);\-#,##0.00"/>
    <numFmt numFmtId="186" formatCode="0;;;@"/>
  </numFmts>
  <fonts count="104" x14ac:knownFonts="1">
    <font>
      <sz val="10"/>
      <name val="Arial"/>
    </font>
    <font>
      <sz val="11"/>
      <color theme="1"/>
      <name val="Calibri"/>
      <family val="2"/>
      <charset val="238"/>
      <scheme val="minor"/>
    </font>
    <font>
      <sz val="11"/>
      <color theme="1"/>
      <name val="Calibri"/>
      <family val="2"/>
      <charset val="238"/>
      <scheme val="minor"/>
    </font>
    <font>
      <sz val="10"/>
      <name val="Arial"/>
      <family val="2"/>
      <charset val="238"/>
    </font>
    <font>
      <i/>
      <sz val="10"/>
      <color indexed="12"/>
      <name val="MS Sans Serif"/>
      <family val="2"/>
    </font>
    <font>
      <sz val="8"/>
      <color indexed="8"/>
      <name val="Arial"/>
      <family val="2"/>
    </font>
    <font>
      <b/>
      <sz val="8"/>
      <color indexed="8"/>
      <name val="Arial"/>
      <family val="2"/>
    </font>
    <font>
      <sz val="8"/>
      <color indexed="8"/>
      <name val="Arial"/>
      <family val="2"/>
    </font>
    <font>
      <sz val="8"/>
      <color indexed="8"/>
      <name val="Arial"/>
      <family val="2"/>
    </font>
    <font>
      <sz val="8"/>
      <name val="Arial"/>
      <family val="2"/>
    </font>
    <font>
      <b/>
      <sz val="9"/>
      <color indexed="8"/>
      <name val="Arial"/>
      <family val="2"/>
    </font>
    <font>
      <sz val="10"/>
      <name val="Courier New"/>
      <family val="3"/>
      <charset val="238"/>
    </font>
    <font>
      <sz val="8"/>
      <color indexed="81"/>
      <name val="Tahoma"/>
      <family val="2"/>
      <charset val="238"/>
    </font>
    <font>
      <b/>
      <sz val="8"/>
      <color indexed="81"/>
      <name val="Tahoma"/>
      <family val="2"/>
      <charset val="238"/>
    </font>
    <font>
      <sz val="10"/>
      <name val="Arial"/>
      <family val="2"/>
      <charset val="238"/>
    </font>
    <font>
      <sz val="9"/>
      <color indexed="81"/>
      <name val="Tahoma"/>
      <family val="2"/>
      <charset val="238"/>
    </font>
    <font>
      <sz val="10"/>
      <name val="Arial CE"/>
      <charset val="238"/>
    </font>
    <font>
      <sz val="11"/>
      <color theme="1"/>
      <name val="Calibri"/>
      <family val="2"/>
      <charset val="238"/>
      <scheme val="minor"/>
    </font>
    <font>
      <sz val="8"/>
      <color indexed="8"/>
      <name val="Verdana"/>
      <family val="2"/>
      <charset val="238"/>
    </font>
    <font>
      <b/>
      <sz val="8"/>
      <color indexed="8"/>
      <name val="Verdana"/>
      <family val="2"/>
      <charset val="238"/>
    </font>
    <font>
      <b/>
      <sz val="9"/>
      <color indexed="8"/>
      <name val="Verdana"/>
      <family val="2"/>
      <charset val="238"/>
    </font>
    <font>
      <b/>
      <sz val="8"/>
      <color rgb="FFFF0000"/>
      <name val="Arial"/>
      <family val="2"/>
      <charset val="238"/>
    </font>
    <font>
      <sz val="11"/>
      <color indexed="8"/>
      <name val="Calibri"/>
      <family val="2"/>
      <charset val="238"/>
    </font>
    <font>
      <sz val="11"/>
      <color indexed="9"/>
      <name val="Calibri"/>
      <family val="2"/>
      <charset val="238"/>
    </font>
    <font>
      <b/>
      <sz val="11"/>
      <color indexed="8"/>
      <name val="Calibri"/>
      <family val="2"/>
      <charset val="238"/>
    </font>
    <font>
      <sz val="11"/>
      <color indexed="20"/>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name val="Calibri"/>
      <family val="2"/>
      <charset val="238"/>
    </font>
    <font>
      <b/>
      <sz val="10"/>
      <name val="Arial"/>
      <family val="2"/>
      <charset val="238"/>
    </font>
    <font>
      <i/>
      <sz val="10"/>
      <name val="Arial"/>
      <family val="2"/>
      <charset val="238"/>
    </font>
    <font>
      <sz val="10"/>
      <color theme="1"/>
      <name val="Calibri"/>
      <family val="2"/>
      <scheme val="minor"/>
    </font>
    <font>
      <b/>
      <sz val="22"/>
      <color theme="3"/>
      <name val="Calibri"/>
      <family val="2"/>
      <scheme val="minor"/>
    </font>
    <font>
      <b/>
      <sz val="12"/>
      <color theme="3"/>
      <name val="Calibri"/>
      <family val="2"/>
      <scheme val="minor"/>
    </font>
    <font>
      <sz val="11"/>
      <color theme="1"/>
      <name val="Calibri"/>
      <family val="2"/>
      <scheme val="minor"/>
    </font>
    <font>
      <b/>
      <sz val="10"/>
      <color indexed="8"/>
      <name val="Century Gothic"/>
      <family val="2"/>
      <charset val="238"/>
    </font>
    <font>
      <b/>
      <sz val="9"/>
      <color indexed="8"/>
      <name val="Century Gothic"/>
      <family val="2"/>
      <charset val="238"/>
    </font>
    <font>
      <sz val="9"/>
      <color indexed="8"/>
      <name val="Century Gothic"/>
      <family val="2"/>
      <charset val="238"/>
    </font>
    <font>
      <b/>
      <sz val="9"/>
      <name val="Century Gothic"/>
      <family val="2"/>
      <charset val="238"/>
    </font>
    <font>
      <sz val="8"/>
      <color indexed="8"/>
      <name val="Century Gothic"/>
      <family val="2"/>
      <charset val="238"/>
    </font>
    <font>
      <b/>
      <sz val="8"/>
      <color indexed="8"/>
      <name val="Century Gothic"/>
      <family val="2"/>
      <charset val="238"/>
    </font>
    <font>
      <sz val="9"/>
      <name val="Century Gothic"/>
      <family val="2"/>
      <charset val="238"/>
    </font>
    <font>
      <i/>
      <sz val="10"/>
      <color indexed="8"/>
      <name val="Century Gothic"/>
      <family val="2"/>
      <charset val="238"/>
    </font>
    <font>
      <b/>
      <sz val="10"/>
      <name val="Century Gothic"/>
      <family val="2"/>
      <charset val="238"/>
    </font>
    <font>
      <sz val="10"/>
      <name val="Century Gothic"/>
      <family val="2"/>
      <charset val="238"/>
    </font>
    <font>
      <sz val="12"/>
      <name val="Century Gothic"/>
      <family val="2"/>
      <charset val="238"/>
    </font>
    <font>
      <b/>
      <sz val="14"/>
      <name val="Century Gothic"/>
      <family val="2"/>
      <charset val="238"/>
    </font>
    <font>
      <sz val="14"/>
      <name val="Century Gothic"/>
      <family val="2"/>
      <charset val="238"/>
    </font>
    <font>
      <b/>
      <sz val="12"/>
      <name val="Century Gothic"/>
      <family val="2"/>
      <charset val="238"/>
    </font>
    <font>
      <sz val="11"/>
      <name val="Century Gothic"/>
      <family val="2"/>
      <charset val="238"/>
    </font>
    <font>
      <sz val="10"/>
      <color rgb="FFFF0000"/>
      <name val="Century Gothic"/>
      <family val="2"/>
      <charset val="238"/>
    </font>
    <font>
      <i/>
      <sz val="10"/>
      <name val="Century Gothic"/>
      <family val="2"/>
      <charset val="238"/>
    </font>
    <font>
      <sz val="10"/>
      <color indexed="12"/>
      <name val="Century Gothic"/>
      <family val="2"/>
      <charset val="238"/>
    </font>
    <font>
      <sz val="10"/>
      <color theme="4" tint="-0.249977111117893"/>
      <name val="Century Gothic"/>
      <family val="2"/>
      <charset val="238"/>
    </font>
    <font>
      <sz val="10"/>
      <color theme="4" tint="0.39997558519241921"/>
      <name val="Century Gothic"/>
      <family val="2"/>
      <charset val="238"/>
    </font>
    <font>
      <b/>
      <sz val="11"/>
      <name val="Century Gothic"/>
      <family val="2"/>
      <charset val="238"/>
    </font>
    <font>
      <i/>
      <sz val="9"/>
      <name val="Century Gothic"/>
      <family val="2"/>
      <charset val="238"/>
    </font>
    <font>
      <i/>
      <sz val="8"/>
      <name val="Century Gothic"/>
      <family val="2"/>
      <charset val="238"/>
    </font>
    <font>
      <sz val="8"/>
      <name val="Century Gothic"/>
      <family val="2"/>
      <charset val="238"/>
    </font>
    <font>
      <sz val="8"/>
      <color rgb="FFFF0000"/>
      <name val="Century Gothic"/>
      <family val="2"/>
      <charset val="238"/>
    </font>
    <font>
      <sz val="9"/>
      <color rgb="FFFF0000"/>
      <name val="Century Gothic"/>
      <family val="2"/>
      <charset val="238"/>
    </font>
    <font>
      <i/>
      <sz val="8"/>
      <color rgb="FFFF0000"/>
      <name val="Century Gothic"/>
      <family val="2"/>
      <charset val="238"/>
    </font>
    <font>
      <b/>
      <sz val="8"/>
      <color rgb="FFFF0000"/>
      <name val="Century Gothic"/>
      <family val="2"/>
      <charset val="238"/>
    </font>
    <font>
      <i/>
      <sz val="9"/>
      <color indexed="10"/>
      <name val="Century Gothic"/>
      <family val="2"/>
      <charset val="238"/>
    </font>
    <font>
      <sz val="9"/>
      <color theme="3" tint="0.39997558519241921"/>
      <name val="Century Gothic"/>
      <family val="2"/>
      <charset val="238"/>
    </font>
    <font>
      <sz val="8"/>
      <color indexed="10"/>
      <name val="Century Gothic"/>
      <family val="2"/>
      <charset val="238"/>
    </font>
    <font>
      <b/>
      <sz val="8"/>
      <name val="Century Gothic"/>
      <family val="2"/>
      <charset val="238"/>
    </font>
    <font>
      <sz val="8"/>
      <color indexed="23"/>
      <name val="Century Gothic"/>
      <family val="2"/>
      <charset val="238"/>
    </font>
    <font>
      <b/>
      <i/>
      <sz val="9"/>
      <color indexed="8"/>
      <name val="Century Gothic"/>
      <family val="2"/>
      <charset val="238"/>
    </font>
    <font>
      <sz val="9"/>
      <color indexed="10"/>
      <name val="Century Gothic"/>
      <family val="2"/>
      <charset val="238"/>
    </font>
    <font>
      <b/>
      <vertAlign val="subscript"/>
      <sz val="9"/>
      <name val="Century Gothic"/>
      <family val="2"/>
      <charset val="238"/>
    </font>
    <font>
      <b/>
      <sz val="9"/>
      <color indexed="10"/>
      <name val="Century Gothic"/>
      <family val="2"/>
      <charset val="238"/>
    </font>
    <font>
      <sz val="8"/>
      <color theme="0"/>
      <name val="Century Gothic"/>
      <family val="2"/>
      <charset val="238"/>
    </font>
    <font>
      <i/>
      <sz val="9"/>
      <color indexed="8"/>
      <name val="Century Gothic"/>
      <family val="2"/>
      <charset val="238"/>
    </font>
    <font>
      <sz val="10"/>
      <color indexed="10"/>
      <name val="Century Gothic"/>
      <family val="2"/>
      <charset val="238"/>
    </font>
    <font>
      <sz val="8"/>
      <color theme="5" tint="-0.249977111117893"/>
      <name val="Century Gothic"/>
      <family val="2"/>
      <charset val="238"/>
    </font>
    <font>
      <sz val="9"/>
      <color theme="5" tint="-0.249977111117893"/>
      <name val="Century Gothic"/>
      <family val="2"/>
      <charset val="238"/>
    </font>
    <font>
      <b/>
      <sz val="9"/>
      <color theme="5" tint="-0.249977111117893"/>
      <name val="Century Gothic"/>
      <family val="2"/>
      <charset val="238"/>
    </font>
    <font>
      <b/>
      <sz val="8"/>
      <color theme="5" tint="-0.249977111117893"/>
      <name val="Century Gothic"/>
      <family val="2"/>
      <charset val="238"/>
    </font>
    <font>
      <sz val="8"/>
      <color theme="5" tint="0.79998168889431442"/>
      <name val="Century Gothic"/>
      <family val="2"/>
      <charset val="238"/>
    </font>
    <font>
      <b/>
      <sz val="8"/>
      <color theme="5" tint="0.79998168889431442"/>
      <name val="Century Gothic"/>
      <family val="2"/>
      <charset val="238"/>
    </font>
    <font>
      <b/>
      <sz val="11"/>
      <color theme="1"/>
      <name val="Century Gothic"/>
      <family val="2"/>
      <charset val="238"/>
    </font>
    <font>
      <sz val="10"/>
      <color theme="1"/>
      <name val="Century Gothic"/>
      <family val="2"/>
      <charset val="238"/>
    </font>
    <font>
      <sz val="9"/>
      <color indexed="9"/>
      <name val="Century Gothic"/>
      <family val="2"/>
      <charset val="238"/>
    </font>
    <font>
      <b/>
      <sz val="8"/>
      <color indexed="10"/>
      <name val="Century Gothic"/>
      <family val="2"/>
      <charset val="238"/>
    </font>
    <font>
      <sz val="9"/>
      <color theme="0"/>
      <name val="Century Gothic"/>
      <family val="2"/>
      <charset val="238"/>
    </font>
    <font>
      <sz val="10"/>
      <name val="Calibri"/>
      <family val="2"/>
      <charset val="238"/>
    </font>
    <font>
      <b/>
      <sz val="10"/>
      <name val="Calibri"/>
      <family val="2"/>
      <charset val="238"/>
    </font>
    <font>
      <sz val="10"/>
      <color indexed="8"/>
      <name val="Century Gothic"/>
      <family val="2"/>
      <charset val="238"/>
    </font>
    <font>
      <sz val="10"/>
      <color indexed="8"/>
      <name val="MS Sans Serif"/>
      <family val="2"/>
      <charset val="238"/>
    </font>
    <font>
      <i/>
      <sz val="8"/>
      <color indexed="8"/>
      <name val="Century Gothic"/>
      <family val="2"/>
      <charset val="238"/>
    </font>
    <font>
      <vertAlign val="subscript"/>
      <sz val="10"/>
      <name val="Calibri"/>
      <family val="2"/>
      <charset val="238"/>
    </font>
    <font>
      <i/>
      <sz val="8"/>
      <color theme="1" tint="0.249977111117893"/>
      <name val="Century Gothic"/>
      <family val="2"/>
      <charset val="238"/>
    </font>
  </fonts>
  <fills count="5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rgb="FFC0C0C0"/>
        <bgColor indexed="64"/>
      </patternFill>
    </fill>
    <fill>
      <patternFill patternType="solid">
        <fgColor rgb="FFFFFF99"/>
        <bgColor indexed="64"/>
      </patternFill>
    </fill>
    <fill>
      <patternFill patternType="solid">
        <fgColor theme="3" tint="0.79998168889431442"/>
        <bgColor indexed="64"/>
      </patternFill>
    </fill>
    <fill>
      <patternFill patternType="solid">
        <fgColor rgb="FFB4DE8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9B"/>
        <bgColor indexed="64"/>
      </patternFill>
    </fill>
    <fill>
      <patternFill patternType="solid">
        <fgColor theme="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FF"/>
        <bgColor rgb="FF000000"/>
      </patternFill>
    </fill>
    <fill>
      <patternFill patternType="solid">
        <fgColor indexed="41"/>
        <bgColor indexed="64"/>
      </patternFill>
    </fill>
    <fill>
      <patternFill patternType="solid">
        <fgColor rgb="FFA4D76B"/>
        <bgColor indexed="64"/>
      </patternFill>
    </fill>
    <fill>
      <patternFill patternType="solid">
        <fgColor theme="7" tint="0.59999389629810485"/>
        <bgColor indexed="64"/>
      </patternFill>
    </fill>
    <fill>
      <patternFill patternType="solid">
        <fgColor rgb="FFCCFFFF"/>
        <bgColor indexed="64"/>
      </patternFill>
    </fill>
  </fills>
  <borders count="267">
    <border>
      <left/>
      <right/>
      <top/>
      <bottom/>
      <diagonal/>
    </border>
    <border>
      <left style="medium">
        <color indexed="64"/>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theme="1" tint="0.34998626667073579"/>
      </top>
      <bottom/>
      <diagonal/>
    </border>
    <border>
      <left/>
      <right style="medium">
        <color theme="1" tint="0.34998626667073579"/>
      </right>
      <top style="medium">
        <color theme="1" tint="0.34998626667073579"/>
      </top>
      <bottom/>
      <diagonal/>
    </border>
    <border>
      <left/>
      <right style="medium">
        <color theme="1" tint="0.34998626667073579"/>
      </right>
      <top/>
      <bottom/>
      <diagonal/>
    </border>
    <border>
      <left style="medium">
        <color theme="1" tint="0.34998626667073579"/>
      </left>
      <right/>
      <top/>
      <bottom style="medium">
        <color theme="1" tint="0.34998626667073579"/>
      </bottom>
      <diagonal/>
    </border>
    <border>
      <left/>
      <right/>
      <top/>
      <bottom style="medium">
        <color theme="1" tint="0.34998626667073579"/>
      </bottom>
      <diagonal/>
    </border>
    <border>
      <left/>
      <right style="medium">
        <color theme="1" tint="0.34998626667073579"/>
      </right>
      <top/>
      <bottom style="medium">
        <color theme="1" tint="0.34998626667073579"/>
      </bottom>
      <diagonal/>
    </border>
    <border>
      <left style="medium">
        <color theme="1" tint="0.34998626667073579"/>
      </left>
      <right style="medium">
        <color theme="1" tint="0.34998626667073579"/>
      </right>
      <top style="medium">
        <color theme="1" tint="0.34998626667073579"/>
      </top>
      <bottom/>
      <diagonal/>
    </border>
    <border>
      <left style="medium">
        <color theme="1" tint="0.34998626667073579"/>
      </left>
      <right style="medium">
        <color theme="1" tint="0.34998626667073579"/>
      </right>
      <top/>
      <bottom style="medium">
        <color theme="1" tint="0.34998626667073579"/>
      </bottom>
      <diagonal/>
    </border>
    <border>
      <left style="medium">
        <color theme="1" tint="0.34998626667073579"/>
      </left>
      <right/>
      <top style="medium">
        <color theme="1" tint="0.34998626667073579"/>
      </top>
      <bottom style="thin">
        <color theme="1" tint="0.34998626667073579"/>
      </bottom>
      <diagonal/>
    </border>
    <border>
      <left/>
      <right/>
      <top style="medium">
        <color theme="1" tint="0.34998626667073579"/>
      </top>
      <bottom style="thin">
        <color theme="1" tint="0.34998626667073579"/>
      </bottom>
      <diagonal/>
    </border>
    <border>
      <left/>
      <right style="medium">
        <color theme="1" tint="0.34998626667073579"/>
      </right>
      <top style="medium">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diagonal/>
    </border>
    <border>
      <left style="thin">
        <color theme="1" tint="0.34998626667073579"/>
      </left>
      <right style="medium">
        <color theme="1" tint="0.34998626667073579"/>
      </right>
      <top/>
      <bottom style="medium">
        <color theme="1" tint="0.34998626667073579"/>
      </bottom>
      <diagonal/>
    </border>
    <border>
      <left style="thin">
        <color theme="1" tint="0.34998626667073579"/>
      </left>
      <right style="medium">
        <color theme="1" tint="0.34998626667073579"/>
      </right>
      <top/>
      <bottom/>
      <diagonal/>
    </border>
    <border>
      <left/>
      <right/>
      <top style="thin">
        <color theme="1" tint="0.34998626667073579"/>
      </top>
      <bottom style="thin">
        <color theme="1" tint="0.34998626667073579"/>
      </bottom>
      <diagonal/>
    </border>
    <border>
      <left style="thin">
        <color theme="1" tint="0.34998626667073579"/>
      </left>
      <right style="medium">
        <color theme="1" tint="0.34998626667073579"/>
      </right>
      <top style="thin">
        <color theme="1" tint="0.34998626667073579"/>
      </top>
      <bottom style="thin">
        <color theme="1" tint="0.34998626667073579"/>
      </bottom>
      <diagonal/>
    </border>
    <border>
      <left/>
      <right/>
      <top style="thin">
        <color theme="1" tint="0.34998626667073579"/>
      </top>
      <bottom style="medium">
        <color theme="1" tint="0.34998626667073579"/>
      </bottom>
      <diagonal/>
    </border>
    <border>
      <left style="thin">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top style="medium">
        <color theme="1" tint="0.34998626667073579"/>
      </top>
      <bottom/>
      <diagonal/>
    </border>
    <border>
      <left style="thin">
        <color theme="1" tint="0.34998626667073579"/>
      </left>
      <right style="medium">
        <color theme="1" tint="0.34998626667073579"/>
      </right>
      <top style="medium">
        <color theme="1" tint="0.34998626667073579"/>
      </top>
      <bottom/>
      <diagonal/>
    </border>
    <border>
      <left style="medium">
        <color theme="1" tint="0.34998626667073579"/>
      </left>
      <right/>
      <top/>
      <bottom/>
      <diagonal/>
    </border>
    <border>
      <left style="medium">
        <color theme="1" tint="0.34998626667073579"/>
      </left>
      <right/>
      <top style="thin">
        <color theme="1" tint="0.34998626667073579"/>
      </top>
      <bottom style="thin">
        <color theme="1" tint="0.34998626667073579"/>
      </bottom>
      <diagonal/>
    </border>
    <border>
      <left/>
      <right style="medium">
        <color theme="1" tint="0.34998626667073579"/>
      </right>
      <top style="thin">
        <color theme="1" tint="0.34998626667073579"/>
      </top>
      <bottom style="thin">
        <color theme="1" tint="0.34998626667073579"/>
      </bottom>
      <diagonal/>
    </border>
    <border>
      <left style="medium">
        <color theme="1" tint="0.34998626667073579"/>
      </left>
      <right/>
      <top style="thin">
        <color theme="1" tint="0.34998626667073579"/>
      </top>
      <bottom style="medium">
        <color theme="1" tint="0.34998626667073579"/>
      </bottom>
      <diagonal/>
    </border>
    <border>
      <left/>
      <right style="medium">
        <color theme="1" tint="0.34998626667073579"/>
      </right>
      <top style="thin">
        <color theme="1" tint="0.34998626667073579"/>
      </top>
      <bottom style="medium">
        <color theme="1" tint="0.34998626667073579"/>
      </bottom>
      <diagonal/>
    </border>
    <border>
      <left/>
      <right style="medium">
        <color theme="1" tint="0.34998626667073579"/>
      </right>
      <top style="thin">
        <color theme="1" tint="0.34998626667073579"/>
      </top>
      <bottom/>
      <diagonal/>
    </border>
    <border>
      <left/>
      <right style="medium">
        <color theme="1" tint="0.34998626667073579"/>
      </right>
      <top/>
      <bottom style="thin">
        <color theme="1" tint="0.34998626667073579"/>
      </bottom>
      <diagonal/>
    </border>
    <border>
      <left/>
      <right/>
      <top/>
      <bottom style="thin">
        <color theme="1" tint="0.34998626667073579"/>
      </bottom>
      <diagonal/>
    </border>
    <border>
      <left style="medium">
        <color theme="1" tint="0.34998626667073579"/>
      </left>
      <right/>
      <top/>
      <bottom style="thin">
        <color theme="1" tint="0.34998626667073579"/>
      </bottom>
      <diagonal/>
    </border>
    <border>
      <left style="thin">
        <color theme="1" tint="0.34998626667073579"/>
      </left>
      <right style="medium">
        <color theme="1" tint="0.34998626667073579"/>
      </right>
      <top/>
      <bottom style="thin">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thin">
        <color theme="1" tint="0.34998626667073579"/>
      </right>
      <top/>
      <bottom/>
      <diagonal/>
    </border>
    <border>
      <left style="thin">
        <color theme="1" tint="0.34998626667073579"/>
      </left>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right/>
      <top style="thin">
        <color theme="1" tint="0.34998626667073579"/>
      </top>
      <bottom/>
      <diagonal/>
    </border>
    <border>
      <left style="thin">
        <color theme="1" tint="0.34998626667073579"/>
      </left>
      <right style="thin">
        <color theme="1" tint="0.34998626667073579"/>
      </right>
      <top style="medium">
        <color theme="1" tint="0.34998626667073579"/>
      </top>
      <bottom style="medium">
        <color theme="1" tint="0.34998626667073579"/>
      </bottom>
      <diagonal/>
    </border>
    <border>
      <left style="thin">
        <color theme="1" tint="0.34998626667073579"/>
      </left>
      <right style="medium">
        <color theme="1" tint="0.34998626667073579"/>
      </right>
      <top style="medium">
        <color theme="1" tint="0.34998626667073579"/>
      </top>
      <bottom style="medium">
        <color theme="1" tint="0.34998626667073579"/>
      </bottom>
      <diagonal/>
    </border>
    <border>
      <left style="medium">
        <color theme="1" tint="0.34998626667073579"/>
      </left>
      <right/>
      <top style="medium">
        <color theme="1" tint="0.34998626667073579"/>
      </top>
      <bottom style="medium">
        <color theme="1" tint="0.34998626667073579"/>
      </bottom>
      <diagonal/>
    </border>
    <border>
      <left/>
      <right style="thin">
        <color theme="1" tint="0.34998626667073579"/>
      </right>
      <top style="medium">
        <color theme="1" tint="0.34998626667073579"/>
      </top>
      <bottom style="medium">
        <color theme="1" tint="0.34998626667073579"/>
      </bottom>
      <diagonal/>
    </border>
    <border>
      <left style="medium">
        <color theme="1" tint="0.34998626667073579"/>
      </left>
      <right style="medium">
        <color theme="1" tint="0.34998626667073579"/>
      </right>
      <top style="medium">
        <color theme="1" tint="0.34998626667073579"/>
      </top>
      <bottom style="medium">
        <color theme="1" tint="0.34998626667073579"/>
      </bottom>
      <diagonal/>
    </border>
    <border>
      <left/>
      <right/>
      <top style="medium">
        <color theme="1" tint="0.34998626667073579"/>
      </top>
      <bottom style="medium">
        <color theme="1" tint="0.34998626667073579"/>
      </bottom>
      <diagonal/>
    </border>
    <border>
      <left/>
      <right style="medium">
        <color theme="1" tint="0.34998626667073579"/>
      </right>
      <top style="medium">
        <color theme="1" tint="0.34998626667073579"/>
      </top>
      <bottom style="medium">
        <color theme="1" tint="0.34998626667073579"/>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style="medium">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medium">
        <color theme="1" tint="0.34998626667073579"/>
      </right>
      <top style="thin">
        <color theme="1" tint="0.34998626667073579"/>
      </top>
      <bottom style="medium">
        <color theme="1" tint="0.34998626667073579"/>
      </bottom>
      <diagonal/>
    </border>
    <border>
      <left style="medium">
        <color theme="1" tint="0.34998626667073579"/>
      </left>
      <right style="medium">
        <color theme="1" tint="0.34998626667073579"/>
      </right>
      <top/>
      <bottom/>
      <diagonal/>
    </border>
    <border>
      <left style="medium">
        <color theme="1" tint="0.34998626667073579"/>
      </left>
      <right style="medium">
        <color theme="1" tint="0.34998626667073579"/>
      </right>
      <top style="thin">
        <color theme="1" tint="0.34998626667073579"/>
      </top>
      <bottom/>
      <diagonal/>
    </border>
    <border>
      <left style="medium">
        <color theme="1" tint="0.34998626667073579"/>
      </left>
      <right style="medium">
        <color theme="1" tint="0.34998626667073579"/>
      </right>
      <top/>
      <bottom style="thin">
        <color theme="1" tint="0.34998626667073579"/>
      </bottom>
      <diagonal/>
    </border>
    <border>
      <left style="medium">
        <color theme="1" tint="0.34998626667073579"/>
      </left>
      <right style="thin">
        <color theme="1" tint="0.34998626667073579"/>
      </right>
      <top style="medium">
        <color theme="1" tint="0.34998626667073579"/>
      </top>
      <bottom/>
      <diagonal/>
    </border>
    <border>
      <left style="medium">
        <color theme="1" tint="0.34998626667073579"/>
      </left>
      <right style="thin">
        <color theme="1" tint="0.34998626667073579"/>
      </right>
      <top/>
      <bottom/>
      <diagonal/>
    </border>
    <border>
      <left style="medium">
        <color theme="1" tint="0.34998626667073579"/>
      </left>
      <right style="thin">
        <color theme="1" tint="0.34998626667073579"/>
      </right>
      <top style="thin">
        <color theme="1" tint="0.34998626667073579"/>
      </top>
      <bottom/>
      <diagonal/>
    </border>
    <border>
      <left style="medium">
        <color theme="1" tint="0.34998626667073579"/>
      </left>
      <right style="thin">
        <color theme="1" tint="0.34998626667073579"/>
      </right>
      <top/>
      <bottom style="thin">
        <color theme="1" tint="0.34998626667073579"/>
      </bottom>
      <diagonal/>
    </border>
    <border>
      <left style="medium">
        <color theme="1" tint="0.34998626667073579"/>
      </left>
      <right/>
      <top style="thin">
        <color theme="1" tint="0.34998626667073579"/>
      </top>
      <bottom/>
      <diagonal/>
    </border>
    <border>
      <left style="thin">
        <color theme="1" tint="0.34998626667073579"/>
      </left>
      <right style="medium">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medium">
        <color theme="1" tint="0.34998626667073579"/>
      </top>
      <bottom style="thin">
        <color theme="1" tint="0.34998626667073579"/>
      </bottom>
      <diagonal/>
    </border>
    <border>
      <left style="medium">
        <color theme="1" tint="0.34998626667073579"/>
      </left>
      <right style="thin">
        <color theme="1" tint="0.34998626667073579"/>
      </right>
      <top style="thin">
        <color theme="1" tint="0.34998626667073579"/>
      </top>
      <bottom style="medium">
        <color theme="1" tint="0.34998626667073579"/>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1"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1"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medium">
        <color theme="1" tint="0.499984740745262"/>
      </bottom>
      <diagonal/>
    </border>
    <border>
      <left/>
      <right/>
      <top style="thin">
        <color theme="1" tint="0.499984740745262"/>
      </top>
      <bottom style="medium">
        <color theme="1" tint="0.499984740745262"/>
      </bottom>
      <diagonal/>
    </border>
    <border>
      <left/>
      <right style="medium">
        <color theme="1" tint="0.499984740745262"/>
      </right>
      <top style="thin">
        <color theme="1" tint="0.499984740745262"/>
      </top>
      <bottom style="medium">
        <color theme="1" tint="0.499984740745262"/>
      </bottom>
      <diagonal/>
    </border>
    <border>
      <left/>
      <right/>
      <top/>
      <bottom style="thin">
        <color theme="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style="thin">
        <color auto="1"/>
      </left>
      <right style="medium">
        <color auto="1"/>
      </right>
      <top/>
      <bottom style="medium">
        <color auto="1"/>
      </bottom>
      <diagonal/>
    </border>
    <border>
      <left style="medium">
        <color theme="1" tint="0.499984740745262"/>
      </left>
      <right/>
      <top/>
      <bottom/>
      <diagonal/>
    </border>
    <border>
      <left/>
      <right style="medium">
        <color theme="1" tint="0.499984740745262"/>
      </right>
      <top/>
      <bottom/>
      <diagonal/>
    </border>
    <border>
      <left style="thin">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style="thin">
        <color auto="1"/>
      </top>
      <bottom style="thin">
        <color auto="1"/>
      </bottom>
      <diagonal/>
    </border>
    <border>
      <left style="medium">
        <color indexed="64"/>
      </left>
      <right style="thin">
        <color indexed="64"/>
      </right>
      <top/>
      <bottom style="thin">
        <color auto="1"/>
      </bottom>
      <diagonal/>
    </border>
    <border>
      <left style="medium">
        <color indexed="64"/>
      </left>
      <right style="thin">
        <color indexed="64"/>
      </right>
      <top style="thin">
        <color auto="1"/>
      </top>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auto="1"/>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medium">
        <color rgb="FFFFC000"/>
      </left>
      <right/>
      <top style="medium">
        <color rgb="FFFFC000"/>
      </top>
      <bottom/>
      <diagonal/>
    </border>
    <border>
      <left/>
      <right/>
      <top style="medium">
        <color rgb="FFFFC000"/>
      </top>
      <bottom/>
      <diagonal/>
    </border>
    <border>
      <left/>
      <right style="medium">
        <color rgb="FFFFC000"/>
      </right>
      <top style="medium">
        <color rgb="FFFFC000"/>
      </top>
      <bottom/>
      <diagonal/>
    </border>
    <border>
      <left style="medium">
        <color rgb="FFFFC000"/>
      </left>
      <right/>
      <top/>
      <bottom/>
      <diagonal/>
    </border>
    <border>
      <left/>
      <right style="medium">
        <color rgb="FFFFC000"/>
      </right>
      <top/>
      <bottom/>
      <diagonal/>
    </border>
    <border>
      <left/>
      <right/>
      <top/>
      <bottom style="medium">
        <color rgb="FFFFC000"/>
      </bottom>
      <diagonal/>
    </border>
    <border>
      <left/>
      <right style="medium">
        <color rgb="FFFFC000"/>
      </right>
      <top/>
      <bottom style="medium">
        <color rgb="FFFFC000"/>
      </bottom>
      <diagonal/>
    </border>
    <border>
      <left style="medium">
        <color rgb="FF92D050"/>
      </left>
      <right/>
      <top style="medium">
        <color rgb="FF92D050"/>
      </top>
      <bottom/>
      <diagonal/>
    </border>
    <border>
      <left/>
      <right/>
      <top style="medium">
        <color rgb="FF92D050"/>
      </top>
      <bottom/>
      <diagonal/>
    </border>
    <border>
      <left/>
      <right style="medium">
        <color rgb="FF92D050"/>
      </right>
      <top style="medium">
        <color rgb="FF92D050"/>
      </top>
      <bottom/>
      <diagonal/>
    </border>
    <border>
      <left style="medium">
        <color rgb="FF92D050"/>
      </left>
      <right/>
      <top/>
      <bottom/>
      <diagonal/>
    </border>
    <border>
      <left/>
      <right style="medium">
        <color rgb="FF92D050"/>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7030A0"/>
      </left>
      <right/>
      <top style="medium">
        <color rgb="FF7030A0"/>
      </top>
      <bottom/>
      <diagonal/>
    </border>
    <border>
      <left/>
      <right/>
      <top style="medium">
        <color rgb="FF7030A0"/>
      </top>
      <bottom/>
      <diagonal/>
    </border>
    <border>
      <left/>
      <right style="medium">
        <color rgb="FF7030A0"/>
      </right>
      <top style="medium">
        <color rgb="FF7030A0"/>
      </top>
      <bottom/>
      <diagonal/>
    </border>
    <border>
      <left style="medium">
        <color rgb="FF7030A0"/>
      </left>
      <right/>
      <top/>
      <bottom/>
      <diagonal/>
    </border>
    <border>
      <left/>
      <right style="medium">
        <color rgb="FF7030A0"/>
      </right>
      <top/>
      <bottom/>
      <diagonal/>
    </border>
    <border>
      <left style="medium">
        <color rgb="FFC00000"/>
      </left>
      <right/>
      <top style="medium">
        <color rgb="FFC00000"/>
      </top>
      <bottom/>
      <diagonal/>
    </border>
    <border>
      <left/>
      <right/>
      <top style="medium">
        <color rgb="FFC00000"/>
      </top>
      <bottom/>
      <diagonal/>
    </border>
    <border>
      <left/>
      <right style="medium">
        <color rgb="FFC00000"/>
      </right>
      <top style="medium">
        <color rgb="FFC00000"/>
      </top>
      <bottom/>
      <diagonal/>
    </border>
    <border>
      <left style="medium">
        <color rgb="FFC00000"/>
      </left>
      <right/>
      <top/>
      <bottom/>
      <diagonal/>
    </border>
    <border>
      <left/>
      <right style="medium">
        <color rgb="FFC0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bottom style="medium">
        <color theme="1" tint="0.34998626667073579"/>
      </bottom>
      <diagonal/>
    </border>
    <border>
      <left style="medium">
        <color indexed="64"/>
      </left>
      <right style="medium">
        <color indexed="64"/>
      </right>
      <top/>
      <bottom style="medium">
        <color theme="1" tint="0.34998626667073579"/>
      </bottom>
      <diagonal/>
    </border>
    <border>
      <left style="thin">
        <color theme="1" tint="0.34998626667073579"/>
      </left>
      <right style="medium">
        <color indexed="64"/>
      </right>
      <top/>
      <bottom style="thin">
        <color theme="1" tint="0.34998626667073579"/>
      </bottom>
      <diagonal/>
    </border>
    <border>
      <left style="thin">
        <color theme="1" tint="0.34998626667073579"/>
      </left>
      <right/>
      <top style="medium">
        <color indexed="64"/>
      </top>
      <bottom/>
      <diagonal/>
    </border>
    <border>
      <left style="thin">
        <color theme="1" tint="0.34998626667073579"/>
      </left>
      <right style="thin">
        <color theme="1" tint="0.34998626667073579"/>
      </right>
      <top style="medium">
        <color indexed="64"/>
      </top>
      <bottom/>
      <diagonal/>
    </border>
    <border>
      <left style="medium">
        <color indexed="64"/>
      </left>
      <right/>
      <top style="thin">
        <color indexed="64"/>
      </top>
      <bottom/>
      <diagonal/>
    </border>
    <border>
      <left/>
      <right style="medium">
        <color auto="1"/>
      </right>
      <top style="thin">
        <color indexed="64"/>
      </top>
      <bottom/>
      <diagonal/>
    </border>
    <border>
      <left/>
      <right style="medium">
        <color auto="1"/>
      </right>
      <top style="thin">
        <color indexed="64"/>
      </top>
      <bottom style="medium">
        <color auto="1"/>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theme="1" tint="0.34998626667073579"/>
      </right>
      <top/>
      <bottom style="medium">
        <color theme="1" tint="0.34998626667073579"/>
      </bottom>
      <diagonal/>
    </border>
    <border>
      <left style="medium">
        <color auto="1"/>
      </left>
      <right style="medium">
        <color auto="1"/>
      </right>
      <top style="thin">
        <color theme="1" tint="0.34998626667073579"/>
      </top>
      <bottom/>
      <diagonal/>
    </border>
    <border>
      <left/>
      <right style="thin">
        <color theme="1" tint="0.34998626667073579"/>
      </right>
      <top/>
      <bottom style="medium">
        <color auto="1"/>
      </bottom>
      <diagonal/>
    </border>
    <border>
      <left style="thin">
        <color theme="1" tint="0.34998626667073579"/>
      </left>
      <right style="thin">
        <color theme="1" tint="0.34998626667073579"/>
      </right>
      <top/>
      <bottom style="medium">
        <color auto="1"/>
      </bottom>
      <diagonal/>
    </border>
    <border>
      <left style="thin">
        <color theme="1" tint="0.34998626667073579"/>
      </left>
      <right/>
      <top/>
      <bottom style="medium">
        <color auto="1"/>
      </bottom>
      <diagonal/>
    </border>
    <border>
      <left style="medium">
        <color indexed="64"/>
      </left>
      <right style="thin">
        <color theme="1" tint="0.34998626667073579"/>
      </right>
      <top/>
      <bottom/>
      <diagonal/>
    </border>
    <border>
      <left style="medium">
        <color indexed="64"/>
      </left>
      <right style="thin">
        <color theme="1" tint="0.34998626667073579"/>
      </right>
      <top style="thin">
        <color theme="1" tint="0.34998626667073579"/>
      </top>
      <bottom/>
      <diagonal/>
    </border>
    <border>
      <left style="medium">
        <color indexed="64"/>
      </left>
      <right style="thin">
        <color theme="1" tint="0.34998626667073579"/>
      </right>
      <top/>
      <bottom style="medium">
        <color theme="1" tint="0.34998626667073579"/>
      </bottom>
      <diagonal/>
    </border>
    <border>
      <left style="medium">
        <color indexed="64"/>
      </left>
      <right style="thin">
        <color theme="1" tint="0.34998626667073579"/>
      </right>
      <top style="medium">
        <color indexed="64"/>
      </top>
      <bottom/>
      <diagonal/>
    </border>
    <border>
      <left style="medium">
        <color indexed="64"/>
      </left>
      <right style="thin">
        <color theme="1" tint="0.34998626667073579"/>
      </right>
      <top/>
      <bottom style="thin">
        <color theme="1" tint="0.34998626667073579"/>
      </bottom>
      <diagonal/>
    </border>
    <border>
      <left style="medium">
        <color indexed="64"/>
      </left>
      <right style="thin">
        <color theme="1" tint="0.34998626667073579"/>
      </right>
      <top/>
      <bottom style="medium">
        <color indexed="64"/>
      </bottom>
      <diagonal/>
    </border>
    <border>
      <left/>
      <right style="thin">
        <color theme="1" tint="0.34998626667073579"/>
      </right>
      <top style="medium">
        <color indexed="64"/>
      </top>
      <bottom/>
      <diagonal/>
    </border>
    <border>
      <left style="medium">
        <color theme="1" tint="0.34998626667073579"/>
      </left>
      <right style="thin">
        <color theme="1" tint="0.34998626667073579"/>
      </right>
      <top/>
      <bottom style="medium">
        <color theme="1" tint="0.34998626667073579"/>
      </bottom>
      <diagonal/>
    </border>
    <border>
      <left style="medium">
        <color theme="1" tint="0.499984740745262"/>
      </left>
      <right/>
      <top style="thin">
        <color theme="1" tint="0.499984740745262"/>
      </top>
      <bottom/>
      <diagonal/>
    </border>
    <border>
      <left/>
      <right/>
      <top style="thin">
        <color theme="1" tint="0.499984740745262"/>
      </top>
      <bottom/>
      <diagonal/>
    </border>
    <border>
      <left/>
      <right style="medium">
        <color theme="1" tint="0.499984740745262"/>
      </right>
      <top style="thin">
        <color theme="1" tint="0.499984740745262"/>
      </top>
      <bottom/>
      <diagonal/>
    </border>
    <border>
      <left style="medium">
        <color indexed="64"/>
      </left>
      <right style="medium">
        <color auto="1"/>
      </right>
      <top style="thin">
        <color indexed="64"/>
      </top>
      <bottom style="thin">
        <color indexed="64"/>
      </bottom>
      <diagonal/>
    </border>
    <border>
      <left/>
      <right/>
      <top style="thin">
        <color indexed="64"/>
      </top>
      <bottom/>
      <diagonal/>
    </border>
    <border>
      <left style="thin">
        <color indexed="64"/>
      </left>
      <right/>
      <top style="medium">
        <color auto="1"/>
      </top>
      <bottom style="medium">
        <color auto="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medium">
        <color auto="1"/>
      </top>
      <bottom style="medium">
        <color rgb="FFFF0000"/>
      </bottom>
      <diagonal/>
    </border>
    <border>
      <left style="medium">
        <color auto="1"/>
      </left>
      <right style="medium">
        <color rgb="FF92D050"/>
      </right>
      <top/>
      <bottom/>
      <diagonal/>
    </border>
    <border>
      <left style="medium">
        <color auto="1"/>
      </left>
      <right style="medium">
        <color rgb="FF0070C0"/>
      </right>
      <top/>
      <bottom/>
      <diagonal/>
    </border>
    <border>
      <left style="medium">
        <color auto="1"/>
      </left>
      <right style="medium">
        <color rgb="FF7030A0"/>
      </right>
      <top/>
      <bottom/>
      <diagonal/>
    </border>
    <border>
      <left style="medium">
        <color auto="1"/>
      </left>
      <right style="medium">
        <color rgb="FFC00000"/>
      </right>
      <top/>
      <bottom/>
      <diagonal/>
    </border>
    <border>
      <left style="medium">
        <color auto="1"/>
      </left>
      <right style="medium">
        <color rgb="FFFF0000"/>
      </right>
      <top/>
      <bottom/>
      <diagonal/>
    </border>
    <border>
      <left/>
      <right style="thin">
        <color indexed="64"/>
      </right>
      <top style="thin">
        <color auto="1"/>
      </top>
      <bottom style="medium">
        <color theme="1" tint="0.34998626667073579"/>
      </bottom>
      <diagonal/>
    </border>
  </borders>
  <cellStyleXfs count="342">
    <xf numFmtId="0" fontId="0" fillId="0" borderId="0"/>
    <xf numFmtId="3" fontId="4" fillId="0" borderId="1" applyFont="0" applyFill="0" applyBorder="0" applyAlignment="0" applyProtection="0"/>
    <xf numFmtId="166" fontId="3"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3" fillId="0" borderId="0"/>
    <xf numFmtId="0" fontId="14" fillId="0" borderId="0"/>
    <xf numFmtId="0" fontId="17" fillId="0" borderId="0"/>
    <xf numFmtId="0" fontId="17" fillId="0" borderId="0"/>
    <xf numFmtId="0" fontId="14" fillId="0" borderId="0"/>
    <xf numFmtId="0" fontId="14" fillId="0" borderId="0"/>
    <xf numFmtId="0" fontId="17" fillId="0" borderId="0"/>
    <xf numFmtId="0" fontId="16" fillId="0" borderId="0"/>
    <xf numFmtId="0" fontId="17" fillId="0" borderId="0"/>
    <xf numFmtId="0" fontId="17" fillId="0" borderId="0"/>
    <xf numFmtId="0" fontId="17" fillId="0" borderId="0"/>
    <xf numFmtId="0" fontId="17" fillId="0" borderId="0"/>
    <xf numFmtId="0" fontId="14" fillId="0" borderId="0"/>
    <xf numFmtId="0" fontId="14" fillId="0" borderId="0"/>
    <xf numFmtId="0" fontId="14" fillId="0" borderId="0"/>
    <xf numFmtId="0" fontId="17" fillId="0" borderId="0"/>
    <xf numFmtId="0" fontId="17" fillId="0" borderId="0"/>
    <xf numFmtId="0" fontId="14" fillId="0" borderId="0"/>
    <xf numFmtId="0" fontId="14" fillId="0" borderId="0"/>
    <xf numFmtId="0" fontId="14" fillId="0" borderId="0"/>
    <xf numFmtId="0" fontId="14" fillId="0" borderId="0"/>
    <xf numFmtId="0" fontId="14" fillId="0" borderId="0"/>
    <xf numFmtId="0" fontId="14" fillId="0" borderId="0"/>
    <xf numFmtId="0" fontId="11" fillId="0" borderId="0"/>
    <xf numFmtId="9" fontId="14" fillId="0" borderId="0" applyFont="0" applyFill="0" applyBorder="0" applyAlignment="0" applyProtection="0"/>
    <xf numFmtId="9" fontId="14"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3" fontId="4" fillId="0" borderId="0" applyFill="0" applyBorder="0" applyAlignment="0" applyProtection="0"/>
    <xf numFmtId="0" fontId="3" fillId="0" borderId="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3" fillId="0" borderId="59"/>
    <xf numFmtId="0" fontId="24" fillId="0" borderId="66" applyNumberFormat="0" applyFill="0" applyAlignment="0" applyProtection="0"/>
    <xf numFmtId="0" fontId="24" fillId="0" borderId="66" applyNumberFormat="0" applyFill="0" applyAlignment="0" applyProtection="0"/>
    <xf numFmtId="0" fontId="24" fillId="0" borderId="66" applyNumberFormat="0" applyFill="0" applyAlignment="0" applyProtection="0"/>
    <xf numFmtId="0" fontId="24" fillId="0" borderId="66" applyNumberFormat="0" applyFill="0" applyAlignment="0" applyProtection="0"/>
    <xf numFmtId="0" fontId="24" fillId="0" borderId="66" applyNumberFormat="0" applyFill="0" applyAlignment="0" applyProtection="0"/>
    <xf numFmtId="0" fontId="24" fillId="0" borderId="66" applyNumberFormat="0" applyFill="0" applyAlignment="0" applyProtection="0"/>
    <xf numFmtId="41" fontId="16"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6" fillId="22" borderId="67" applyNumberFormat="0" applyAlignment="0" applyProtection="0"/>
    <xf numFmtId="0" fontId="26" fillId="22" borderId="67" applyNumberFormat="0" applyAlignment="0" applyProtection="0"/>
    <xf numFmtId="0" fontId="26" fillId="22" borderId="67" applyNumberFormat="0" applyAlignment="0" applyProtection="0"/>
    <xf numFmtId="0" fontId="26" fillId="22" borderId="67" applyNumberFormat="0" applyAlignment="0" applyProtection="0"/>
    <xf numFmtId="0" fontId="26" fillId="22" borderId="67" applyNumberFormat="0" applyAlignment="0" applyProtection="0"/>
    <xf numFmtId="0" fontId="26" fillId="22" borderId="67" applyNumberFormat="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7" fillId="0" borderId="68"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8" fillId="0" borderId="69"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70"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2" fillId="0" borderId="0"/>
    <xf numFmtId="0" fontId="2" fillId="0" borderId="0"/>
    <xf numFmtId="0" fontId="16" fillId="0" borderId="0"/>
    <xf numFmtId="0" fontId="16" fillId="0" borderId="0"/>
    <xf numFmtId="0" fontId="16" fillId="0" borderId="0"/>
    <xf numFmtId="0" fontId="3" fillId="0" borderId="0"/>
    <xf numFmtId="0" fontId="3" fillId="0" borderId="0"/>
    <xf numFmtId="0" fontId="22" fillId="0" borderId="0"/>
    <xf numFmtId="0" fontId="3" fillId="0" borderId="0"/>
    <xf numFmtId="0" fontId="16" fillId="0" borderId="0"/>
    <xf numFmtId="0" fontId="2" fillId="0" borderId="0"/>
    <xf numFmtId="0" fontId="3" fillId="0" borderId="0"/>
    <xf numFmtId="0" fontId="2" fillId="0" borderId="0"/>
    <xf numFmtId="0" fontId="2" fillId="0" borderId="0"/>
    <xf numFmtId="0" fontId="2" fillId="0" borderId="0"/>
    <xf numFmtId="0" fontId="2" fillId="0" borderId="0"/>
    <xf numFmtId="0" fontId="3" fillId="0" borderId="0"/>
    <xf numFmtId="0" fontId="2" fillId="0" borderId="0"/>
    <xf numFmtId="0" fontId="16" fillId="24" borderId="71" applyNumberFormat="0" applyFont="0" applyAlignment="0" applyProtection="0"/>
    <xf numFmtId="0" fontId="16" fillId="24" borderId="71" applyNumberFormat="0" applyFont="0" applyAlignment="0" applyProtection="0"/>
    <xf numFmtId="0" fontId="16" fillId="24" borderId="71" applyNumberFormat="0" applyFont="0" applyAlignment="0" applyProtection="0"/>
    <xf numFmtId="0" fontId="16" fillId="24" borderId="71" applyNumberFormat="0" applyFont="0" applyAlignment="0" applyProtection="0"/>
    <xf numFmtId="0" fontId="16" fillId="24" borderId="71" applyNumberFormat="0" applyFont="0" applyAlignment="0" applyProtection="0"/>
    <xf numFmtId="0" fontId="16" fillId="24" borderId="7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2" fillId="0" borderId="72" applyNumberFormat="0" applyFill="0" applyAlignment="0" applyProtection="0"/>
    <xf numFmtId="0" fontId="32" fillId="0" borderId="72" applyNumberFormat="0" applyFill="0" applyAlignment="0" applyProtection="0"/>
    <xf numFmtId="0" fontId="32" fillId="0" borderId="72" applyNumberFormat="0" applyFill="0" applyAlignment="0" applyProtection="0"/>
    <xf numFmtId="0" fontId="32" fillId="0" borderId="72" applyNumberFormat="0" applyFill="0" applyAlignment="0" applyProtection="0"/>
    <xf numFmtId="0" fontId="32" fillId="0" borderId="72" applyNumberFormat="0" applyFill="0" applyAlignment="0" applyProtection="0"/>
    <xf numFmtId="0" fontId="32" fillId="0" borderId="72" applyNumberFormat="0" applyFill="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13" borderId="73" applyNumberFormat="0" applyAlignment="0" applyProtection="0"/>
    <xf numFmtId="0" fontId="35" fillId="13" borderId="73" applyNumberFormat="0" applyAlignment="0" applyProtection="0"/>
    <xf numFmtId="0" fontId="35" fillId="13" borderId="73" applyNumberFormat="0" applyAlignment="0" applyProtection="0"/>
    <xf numFmtId="0" fontId="35" fillId="13" borderId="73" applyNumberFormat="0" applyAlignment="0" applyProtection="0"/>
    <xf numFmtId="0" fontId="35" fillId="13" borderId="73" applyNumberFormat="0" applyAlignment="0" applyProtection="0"/>
    <xf numFmtId="0" fontId="35" fillId="13" borderId="73" applyNumberFormat="0" applyAlignment="0" applyProtection="0"/>
    <xf numFmtId="0" fontId="36" fillId="25" borderId="73" applyNumberFormat="0" applyAlignment="0" applyProtection="0"/>
    <xf numFmtId="0" fontId="36" fillId="25" borderId="73" applyNumberFormat="0" applyAlignment="0" applyProtection="0"/>
    <xf numFmtId="0" fontId="36" fillId="25" borderId="73" applyNumberFormat="0" applyAlignment="0" applyProtection="0"/>
    <xf numFmtId="0" fontId="36" fillId="25" borderId="73" applyNumberFormat="0" applyAlignment="0" applyProtection="0"/>
    <xf numFmtId="0" fontId="36" fillId="25" borderId="73" applyNumberFormat="0" applyAlignment="0" applyProtection="0"/>
    <xf numFmtId="0" fontId="36" fillId="25" borderId="73" applyNumberFormat="0" applyAlignment="0" applyProtection="0"/>
    <xf numFmtId="0" fontId="37" fillId="25" borderId="74" applyNumberFormat="0" applyAlignment="0" applyProtection="0"/>
    <xf numFmtId="0" fontId="37" fillId="25" borderId="74" applyNumberFormat="0" applyAlignment="0" applyProtection="0"/>
    <xf numFmtId="0" fontId="37" fillId="25" borderId="74" applyNumberFormat="0" applyAlignment="0" applyProtection="0"/>
    <xf numFmtId="0" fontId="37" fillId="25" borderId="74" applyNumberFormat="0" applyAlignment="0" applyProtection="0"/>
    <xf numFmtId="0" fontId="37" fillId="25" borderId="74" applyNumberFormat="0" applyAlignment="0" applyProtection="0"/>
    <xf numFmtId="0" fontId="37" fillId="25" borderId="7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2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23" fillId="29" borderId="0" applyNumberFormat="0" applyBorder="0" applyAlignment="0" applyProtection="0"/>
    <xf numFmtId="0" fontId="3" fillId="0" borderId="0"/>
    <xf numFmtId="0" fontId="3" fillId="0" borderId="0"/>
    <xf numFmtId="9" fontId="3" fillId="0" borderId="0" applyFont="0" applyFill="0" applyBorder="0" applyAlignment="0" applyProtection="0"/>
    <xf numFmtId="0" fontId="1" fillId="0" borderId="0"/>
    <xf numFmtId="0" fontId="42" fillId="0" borderId="0"/>
    <xf numFmtId="0" fontId="43" fillId="0" borderId="0" applyNumberFormat="0" applyFill="0" applyBorder="0" applyAlignment="0" applyProtection="0"/>
    <xf numFmtId="0" fontId="44" fillId="0" borderId="0" applyNumberFormat="0" applyFill="0" applyBorder="0" applyAlignment="0" applyProtection="0"/>
    <xf numFmtId="178" fontId="45" fillId="0" borderId="0" applyFont="0" applyFill="0" applyBorder="0" applyAlignment="0" applyProtection="0"/>
    <xf numFmtId="9" fontId="45" fillId="0" borderId="0" applyFont="0" applyFill="0" applyBorder="0" applyAlignment="0" applyProtection="0"/>
    <xf numFmtId="0" fontId="100" fillId="0" borderId="0"/>
  </cellStyleXfs>
  <cellXfs count="2749">
    <xf numFmtId="0" fontId="0" fillId="0" borderId="0" xfId="0"/>
    <xf numFmtId="0" fontId="5" fillId="0" borderId="0" xfId="0" applyFont="1" applyProtection="1">
      <protection locked="0"/>
    </xf>
    <xf numFmtId="0" fontId="6" fillId="0" borderId="0" xfId="0" applyFont="1" applyBorder="1" applyProtection="1">
      <protection locked="0"/>
    </xf>
    <xf numFmtId="0" fontId="5" fillId="0" borderId="0" xfId="0" applyFont="1" applyAlignment="1" applyProtection="1">
      <alignment horizontal="right"/>
      <protection locked="0"/>
    </xf>
    <xf numFmtId="0" fontId="8" fillId="0" borderId="0" xfId="0" applyFont="1" applyBorder="1" applyProtection="1">
      <protection locked="0"/>
    </xf>
    <xf numFmtId="3" fontId="8" fillId="0" borderId="0" xfId="0" applyNumberFormat="1" applyFont="1" applyFill="1" applyBorder="1" applyProtection="1">
      <protection locked="0"/>
    </xf>
    <xf numFmtId="0" fontId="8" fillId="0" borderId="0" xfId="0" applyFont="1" applyFill="1" applyBorder="1" applyProtection="1">
      <protection locked="0"/>
    </xf>
    <xf numFmtId="0" fontId="6" fillId="0" borderId="0" xfId="0" applyFont="1" applyFill="1" applyBorder="1" applyProtection="1">
      <protection locked="0"/>
    </xf>
    <xf numFmtId="3" fontId="6" fillId="0" borderId="0" xfId="0" applyNumberFormat="1" applyFont="1" applyFill="1" applyBorder="1" applyProtection="1">
      <protection locked="0"/>
    </xf>
    <xf numFmtId="0" fontId="5" fillId="0" borderId="0" xfId="0" applyFont="1" applyFill="1" applyProtection="1">
      <protection locked="0"/>
    </xf>
    <xf numFmtId="0" fontId="18" fillId="0" borderId="0" xfId="0" applyFont="1" applyProtection="1">
      <protection locked="0"/>
    </xf>
    <xf numFmtId="0" fontId="19" fillId="0" borderId="0" xfId="0" applyFont="1" applyBorder="1" applyProtection="1">
      <protection locked="0"/>
    </xf>
    <xf numFmtId="0" fontId="18" fillId="0" borderId="0" xfId="0" applyFont="1" applyBorder="1" applyProtection="1">
      <protection locked="0"/>
    </xf>
    <xf numFmtId="3" fontId="18" fillId="0" borderId="0" xfId="0" applyNumberFormat="1" applyFont="1" applyFill="1" applyBorder="1" applyProtection="1">
      <protection locked="0"/>
    </xf>
    <xf numFmtId="3" fontId="19" fillId="0" borderId="0" xfId="0" applyNumberFormat="1" applyFont="1" applyFill="1" applyBorder="1" applyProtection="1">
      <protection locked="0"/>
    </xf>
    <xf numFmtId="3" fontId="5" fillId="0" borderId="0" xfId="0" applyNumberFormat="1" applyFont="1" applyFill="1" applyBorder="1" applyAlignment="1" applyProtection="1">
      <protection locked="0"/>
    </xf>
    <xf numFmtId="4" fontId="5" fillId="0" borderId="0" xfId="0" applyNumberFormat="1" applyFont="1" applyFill="1" applyBorder="1" applyProtection="1">
      <protection locked="0"/>
    </xf>
    <xf numFmtId="3" fontId="5" fillId="0" borderId="0" xfId="10" applyNumberFormat="1" applyFont="1" applyFill="1" applyBorder="1" applyAlignment="1" applyProtection="1">
      <protection locked="0"/>
    </xf>
    <xf numFmtId="4" fontId="18" fillId="0" borderId="0" xfId="0" applyNumberFormat="1" applyFont="1" applyFill="1" applyBorder="1" applyProtection="1">
      <protection locked="0"/>
    </xf>
    <xf numFmtId="0" fontId="21" fillId="0" borderId="0" xfId="0" applyFont="1" applyFill="1" applyProtection="1">
      <protection locked="0"/>
    </xf>
    <xf numFmtId="0" fontId="10" fillId="0" borderId="0" xfId="0" applyFont="1" applyFill="1" applyBorder="1" applyAlignment="1" applyProtection="1">
      <alignment vertical="center"/>
      <protection locked="0"/>
    </xf>
    <xf numFmtId="3" fontId="19" fillId="0" borderId="0" xfId="0" applyNumberFormat="1" applyFont="1" applyFill="1" applyBorder="1" applyAlignment="1" applyProtection="1">
      <protection locked="0"/>
    </xf>
    <xf numFmtId="3" fontId="6" fillId="0" borderId="0" xfId="0" applyNumberFormat="1" applyFont="1" applyFill="1" applyBorder="1" applyAlignment="1" applyProtection="1">
      <protection locked="0"/>
    </xf>
    <xf numFmtId="0" fontId="50" fillId="0" borderId="0" xfId="0" applyFont="1" applyProtection="1">
      <protection locked="0"/>
    </xf>
    <xf numFmtId="0" fontId="51" fillId="0" borderId="0" xfId="0" applyFont="1" applyBorder="1" applyProtection="1">
      <protection locked="0"/>
    </xf>
    <xf numFmtId="0" fontId="50" fillId="0" borderId="0" xfId="0" applyFont="1" applyBorder="1" applyProtection="1">
      <protection locked="0"/>
    </xf>
    <xf numFmtId="171" fontId="51" fillId="0" borderId="0" xfId="0" applyNumberFormat="1" applyFont="1" applyFill="1" applyBorder="1" applyProtection="1">
      <protection locked="0"/>
    </xf>
    <xf numFmtId="171" fontId="50" fillId="0" borderId="0" xfId="0" applyNumberFormat="1" applyFont="1" applyFill="1" applyBorder="1" applyProtection="1">
      <protection locked="0"/>
    </xf>
    <xf numFmtId="167" fontId="50" fillId="0" borderId="0" xfId="0" applyNumberFormat="1" applyFont="1" applyProtection="1">
      <protection locked="0"/>
    </xf>
    <xf numFmtId="3" fontId="48" fillId="3" borderId="0" xfId="0" applyNumberFormat="1" applyFont="1" applyFill="1" applyBorder="1" applyProtection="1">
      <protection locked="0"/>
    </xf>
    <xf numFmtId="0" fontId="48" fillId="40" borderId="0" xfId="0" applyFont="1" applyFill="1" applyBorder="1" applyProtection="1"/>
    <xf numFmtId="0" fontId="47" fillId="40" borderId="0" xfId="0" applyFont="1" applyFill="1" applyBorder="1" applyAlignment="1" applyProtection="1">
      <alignment horizontal="center"/>
    </xf>
    <xf numFmtId="0" fontId="47" fillId="40" borderId="80" xfId="0" applyFont="1" applyFill="1" applyBorder="1" applyAlignment="1" applyProtection="1">
      <alignment horizontal="center"/>
    </xf>
    <xf numFmtId="0" fontId="46" fillId="40" borderId="80" xfId="0" applyFont="1" applyFill="1" applyBorder="1" applyAlignment="1" applyProtection="1">
      <alignment horizontal="center"/>
    </xf>
    <xf numFmtId="0" fontId="46" fillId="40" borderId="81" xfId="0" applyFont="1" applyFill="1" applyBorder="1" applyAlignment="1" applyProtection="1">
      <alignment horizontal="center"/>
    </xf>
    <xf numFmtId="0" fontId="47" fillId="40" borderId="82" xfId="0" applyFont="1" applyFill="1" applyBorder="1" applyAlignment="1" applyProtection="1">
      <alignment horizontal="center"/>
    </xf>
    <xf numFmtId="176" fontId="49" fillId="40" borderId="84" xfId="0" applyNumberFormat="1" applyFont="1" applyFill="1" applyBorder="1" applyAlignment="1" applyProtection="1">
      <alignment horizontal="left"/>
    </xf>
    <xf numFmtId="0" fontId="48" fillId="40" borderId="84" xfId="0" applyFont="1" applyFill="1" applyBorder="1" applyAlignment="1" applyProtection="1">
      <alignment horizontal="center"/>
    </xf>
    <xf numFmtId="0" fontId="48" fillId="40" borderId="85" xfId="0" applyFont="1" applyFill="1" applyBorder="1" applyAlignment="1" applyProtection="1">
      <alignment horizontal="center"/>
    </xf>
    <xf numFmtId="0" fontId="46" fillId="40" borderId="86" xfId="0" applyFont="1" applyFill="1" applyBorder="1" applyAlignment="1" applyProtection="1">
      <alignment horizontal="center"/>
    </xf>
    <xf numFmtId="0" fontId="46" fillId="40" borderId="88" xfId="0" applyFont="1" applyFill="1" applyBorder="1" applyAlignment="1" applyProtection="1">
      <alignment horizontal="left"/>
    </xf>
    <xf numFmtId="0" fontId="46" fillId="40" borderId="89" xfId="0" applyFont="1" applyFill="1" applyBorder="1" applyAlignment="1" applyProtection="1">
      <alignment horizontal="left"/>
    </xf>
    <xf numFmtId="0" fontId="46" fillId="40" borderId="90" xfId="0" applyFont="1" applyFill="1" applyBorder="1" applyAlignment="1" applyProtection="1">
      <alignment horizontal="left"/>
    </xf>
    <xf numFmtId="0" fontId="47" fillId="6" borderId="94" xfId="0" applyFont="1" applyFill="1" applyBorder="1" applyProtection="1"/>
    <xf numFmtId="169" fontId="47" fillId="6" borderId="94" xfId="0" applyNumberFormat="1" applyFont="1" applyFill="1" applyBorder="1" applyAlignment="1" applyProtection="1">
      <alignment horizontal="right"/>
    </xf>
    <xf numFmtId="3" fontId="47" fillId="6" borderId="95" xfId="0" applyNumberFormat="1" applyFont="1" applyFill="1" applyBorder="1" applyAlignment="1" applyProtection="1">
      <alignment horizontal="right"/>
    </xf>
    <xf numFmtId="3" fontId="47" fillId="6" borderId="94" xfId="0" applyNumberFormat="1" applyFont="1" applyFill="1" applyBorder="1" applyProtection="1"/>
    <xf numFmtId="3" fontId="48" fillId="0" borderId="95" xfId="0" applyNumberFormat="1" applyFont="1" applyBorder="1" applyAlignment="1" applyProtection="1">
      <alignment horizontal="right"/>
    </xf>
    <xf numFmtId="3" fontId="48" fillId="0" borderId="97" xfId="0" applyNumberFormat="1" applyFont="1" applyBorder="1" applyAlignment="1" applyProtection="1">
      <alignment horizontal="right"/>
      <protection locked="0"/>
    </xf>
    <xf numFmtId="0" fontId="47" fillId="6" borderId="101" xfId="0" applyFont="1" applyFill="1" applyBorder="1" applyProtection="1"/>
    <xf numFmtId="3" fontId="47" fillId="6" borderId="102" xfId="0" applyNumberFormat="1" applyFont="1" applyFill="1" applyBorder="1" applyProtection="1"/>
    <xf numFmtId="0" fontId="47" fillId="6" borderId="83" xfId="0" applyFont="1" applyFill="1" applyBorder="1" applyProtection="1"/>
    <xf numFmtId="0" fontId="47" fillId="6" borderId="84" xfId="0" applyFont="1" applyFill="1" applyBorder="1" applyProtection="1"/>
    <xf numFmtId="169" fontId="47" fillId="6" borderId="84" xfId="0" applyNumberFormat="1" applyFont="1" applyFill="1" applyBorder="1" applyAlignment="1" applyProtection="1">
      <alignment horizontal="right"/>
    </xf>
    <xf numFmtId="3" fontId="47" fillId="6" borderId="92" xfId="0" applyNumberFormat="1" applyFont="1" applyFill="1" applyBorder="1" applyAlignment="1" applyProtection="1">
      <alignment horizontal="right"/>
    </xf>
    <xf numFmtId="0" fontId="48" fillId="35" borderId="98" xfId="0" applyFont="1" applyFill="1" applyBorder="1" applyProtection="1"/>
    <xf numFmtId="0" fontId="52" fillId="35" borderId="80" xfId="0" applyFont="1" applyFill="1" applyBorder="1" applyProtection="1"/>
    <xf numFmtId="169" fontId="48" fillId="35" borderId="80" xfId="0" applyNumberFormat="1" applyFont="1" applyFill="1" applyBorder="1" applyAlignment="1" applyProtection="1">
      <alignment horizontal="right"/>
    </xf>
    <xf numFmtId="0" fontId="48" fillId="35" borderId="100" xfId="0" applyFont="1" applyFill="1" applyBorder="1" applyProtection="1"/>
    <xf numFmtId="0" fontId="48" fillId="35" borderId="0" xfId="0" applyFont="1" applyFill="1" applyBorder="1" applyProtection="1"/>
    <xf numFmtId="169" fontId="48" fillId="35" borderId="0" xfId="0" applyNumberFormat="1" applyFont="1" applyFill="1" applyBorder="1" applyAlignment="1" applyProtection="1">
      <alignment horizontal="right"/>
    </xf>
    <xf numFmtId="0" fontId="48" fillId="35" borderId="101" xfId="0" applyFont="1" applyFill="1" applyBorder="1" applyProtection="1"/>
    <xf numFmtId="0" fontId="48" fillId="35" borderId="94" xfId="0" applyFont="1" applyFill="1" applyBorder="1" applyProtection="1"/>
    <xf numFmtId="169" fontId="48" fillId="35" borderId="94" xfId="0" applyNumberFormat="1" applyFont="1" applyFill="1" applyBorder="1" applyAlignment="1" applyProtection="1">
      <alignment horizontal="right"/>
    </xf>
    <xf numFmtId="175" fontId="48" fillId="35" borderId="103" xfId="0" applyNumberFormat="1" applyFont="1" applyFill="1" applyBorder="1" applyAlignment="1" applyProtection="1">
      <alignment horizontal="left"/>
      <protection locked="0"/>
    </xf>
    <xf numFmtId="177" fontId="48" fillId="35" borderId="96" xfId="0" applyNumberFormat="1" applyFont="1" applyFill="1" applyBorder="1" applyAlignment="1" applyProtection="1">
      <alignment horizontal="left"/>
      <protection locked="0"/>
    </xf>
    <xf numFmtId="169" fontId="48" fillId="35" borderId="96" xfId="0" applyNumberFormat="1" applyFont="1" applyFill="1" applyBorder="1" applyAlignment="1" applyProtection="1">
      <alignment horizontal="right"/>
      <protection locked="0"/>
    </xf>
    <xf numFmtId="3" fontId="47" fillId="6" borderId="102" xfId="0" applyNumberFormat="1" applyFont="1" applyFill="1" applyBorder="1" applyAlignment="1" applyProtection="1">
      <alignment horizontal="right"/>
    </xf>
    <xf numFmtId="3" fontId="47" fillId="6" borderId="85" xfId="0" applyNumberFormat="1" applyFont="1" applyFill="1" applyBorder="1" applyAlignment="1" applyProtection="1">
      <alignment horizontal="right"/>
    </xf>
    <xf numFmtId="3" fontId="48" fillId="35" borderId="82" xfId="0" applyNumberFormat="1" applyFont="1" applyFill="1" applyBorder="1" applyAlignment="1" applyProtection="1">
      <alignment horizontal="right"/>
    </xf>
    <xf numFmtId="3" fontId="48" fillId="35" borderId="81" xfId="0" applyNumberFormat="1" applyFont="1" applyFill="1" applyBorder="1" applyAlignment="1" applyProtection="1">
      <alignment horizontal="right"/>
    </xf>
    <xf numFmtId="3" fontId="48" fillId="35" borderId="106" xfId="0" applyNumberFormat="1" applyFont="1" applyFill="1" applyBorder="1" applyAlignment="1" applyProtection="1">
      <alignment horizontal="right"/>
    </xf>
    <xf numFmtId="3" fontId="48" fillId="35" borderId="102" xfId="0" applyNumberFormat="1" applyFont="1" applyFill="1" applyBorder="1" applyAlignment="1" applyProtection="1">
      <alignment horizontal="right"/>
    </xf>
    <xf numFmtId="3" fontId="48" fillId="35" borderId="104" xfId="0" applyNumberFormat="1" applyFont="1" applyFill="1" applyBorder="1" applyAlignment="1" applyProtection="1">
      <alignment horizontal="right"/>
      <protection locked="0"/>
    </xf>
    <xf numFmtId="0" fontId="52" fillId="35" borderId="0" xfId="0" applyFont="1" applyFill="1" applyBorder="1" applyProtection="1"/>
    <xf numFmtId="3" fontId="47" fillId="6" borderId="101" xfId="0" applyNumberFormat="1" applyFont="1" applyFill="1" applyBorder="1" applyProtection="1"/>
    <xf numFmtId="3" fontId="47" fillId="6" borderId="115" xfId="0" applyNumberFormat="1" applyFont="1" applyFill="1" applyBorder="1" applyAlignment="1" applyProtection="1">
      <alignment horizontal="right"/>
    </xf>
    <xf numFmtId="175" fontId="48" fillId="35" borderId="100" xfId="0" applyNumberFormat="1" applyFont="1" applyFill="1" applyBorder="1" applyAlignment="1" applyProtection="1">
      <alignment horizontal="left"/>
      <protection locked="0"/>
    </xf>
    <xf numFmtId="177" fontId="48" fillId="35" borderId="116" xfId="0" applyNumberFormat="1" applyFont="1" applyFill="1" applyBorder="1" applyAlignment="1" applyProtection="1">
      <alignment horizontal="left"/>
      <protection locked="0"/>
    </xf>
    <xf numFmtId="3" fontId="48" fillId="0" borderId="91" xfId="0" applyNumberFormat="1" applyFont="1" applyFill="1" applyBorder="1" applyProtection="1">
      <protection locked="0"/>
    </xf>
    <xf numFmtId="3" fontId="47" fillId="6" borderId="117" xfId="0" applyNumberFormat="1" applyFont="1" applyFill="1" applyBorder="1" applyAlignment="1" applyProtection="1">
      <alignment horizontal="right"/>
    </xf>
    <xf numFmtId="3" fontId="47" fillId="6" borderId="118" xfId="0" applyNumberFormat="1" applyFont="1" applyFill="1" applyBorder="1" applyAlignment="1" applyProtection="1">
      <alignment horizontal="right"/>
    </xf>
    <xf numFmtId="0" fontId="47" fillId="6" borderId="119" xfId="0" applyFont="1" applyFill="1" applyBorder="1" applyProtection="1"/>
    <xf numFmtId="0" fontId="47" fillId="6" borderId="120" xfId="0" applyFont="1" applyFill="1" applyBorder="1" applyAlignment="1" applyProtection="1">
      <alignment horizontal="right"/>
    </xf>
    <xf numFmtId="169" fontId="48" fillId="35" borderId="81" xfId="0" applyNumberFormat="1" applyFont="1" applyFill="1" applyBorder="1" applyAlignment="1" applyProtection="1">
      <alignment horizontal="right"/>
    </xf>
    <xf numFmtId="169" fontId="48" fillId="35" borderId="82" xfId="0" applyNumberFormat="1" applyFont="1" applyFill="1" applyBorder="1" applyAlignment="1" applyProtection="1">
      <alignment horizontal="right"/>
    </xf>
    <xf numFmtId="169" fontId="47" fillId="6" borderId="85" xfId="0" applyNumberFormat="1" applyFont="1" applyFill="1" applyBorder="1" applyAlignment="1" applyProtection="1">
      <alignment horizontal="right"/>
    </xf>
    <xf numFmtId="169" fontId="47" fillId="6" borderId="102" xfId="0" applyNumberFormat="1" applyFont="1" applyFill="1" applyBorder="1" applyAlignment="1" applyProtection="1">
      <alignment horizontal="right"/>
    </xf>
    <xf numFmtId="169" fontId="48" fillId="35" borderId="104" xfId="0" applyNumberFormat="1" applyFont="1" applyFill="1" applyBorder="1" applyAlignment="1" applyProtection="1">
      <alignment horizontal="right"/>
      <protection locked="0"/>
    </xf>
    <xf numFmtId="0" fontId="53" fillId="0" borderId="83" xfId="0" applyFont="1" applyBorder="1" applyProtection="1"/>
    <xf numFmtId="0" fontId="50" fillId="0" borderId="84" xfId="0" applyFont="1" applyBorder="1" applyProtection="1"/>
    <xf numFmtId="0" fontId="50" fillId="0" borderId="84" xfId="0" applyFont="1" applyBorder="1" applyAlignment="1" applyProtection="1">
      <alignment horizontal="right"/>
    </xf>
    <xf numFmtId="0" fontId="53" fillId="0" borderId="100" xfId="0" applyFont="1" applyBorder="1" applyProtection="1"/>
    <xf numFmtId="0" fontId="53" fillId="0" borderId="0" xfId="0" applyFont="1" applyBorder="1" applyProtection="1"/>
    <xf numFmtId="0" fontId="50" fillId="0" borderId="0" xfId="0" applyFont="1" applyFill="1" applyBorder="1" applyProtection="1"/>
    <xf numFmtId="0" fontId="50" fillId="0" borderId="0" xfId="0" applyFont="1" applyFill="1" applyBorder="1" applyAlignment="1" applyProtection="1">
      <alignment horizontal="right"/>
    </xf>
    <xf numFmtId="0" fontId="50" fillId="0" borderId="0" xfId="0" applyFont="1" applyBorder="1" applyProtection="1"/>
    <xf numFmtId="0" fontId="55" fillId="0" borderId="0" xfId="0" applyFont="1" applyProtection="1">
      <protection locked="0"/>
    </xf>
    <xf numFmtId="0" fontId="57" fillId="0" borderId="0" xfId="0" applyFont="1" applyAlignment="1" applyProtection="1">
      <protection locked="0"/>
    </xf>
    <xf numFmtId="0" fontId="58" fillId="0" borderId="0" xfId="0" applyFont="1" applyAlignment="1" applyProtection="1">
      <protection locked="0"/>
    </xf>
    <xf numFmtId="0" fontId="55" fillId="2" borderId="0" xfId="0" applyFont="1" applyFill="1" applyBorder="1" applyProtection="1"/>
    <xf numFmtId="0" fontId="61" fillId="0" borderId="0" xfId="0" applyFont="1" applyProtection="1">
      <protection locked="0"/>
    </xf>
    <xf numFmtId="0" fontId="55" fillId="0" borderId="0" xfId="0" applyFont="1" applyProtection="1"/>
    <xf numFmtId="0" fontId="55" fillId="0" borderId="0" xfId="0" applyFont="1" applyFill="1" applyProtection="1">
      <protection locked="0"/>
    </xf>
    <xf numFmtId="0" fontId="54" fillId="39" borderId="2" xfId="0" applyFont="1" applyFill="1" applyBorder="1" applyProtection="1"/>
    <xf numFmtId="0" fontId="55" fillId="39" borderId="2" xfId="0" applyFont="1" applyFill="1" applyBorder="1" applyProtection="1"/>
    <xf numFmtId="0" fontId="56" fillId="39" borderId="0" xfId="0" applyFont="1" applyFill="1" applyBorder="1" applyAlignment="1" applyProtection="1">
      <alignment vertical="center" wrapText="1"/>
    </xf>
    <xf numFmtId="0" fontId="64" fillId="39" borderId="0" xfId="0" applyFont="1" applyFill="1" applyBorder="1" applyAlignment="1" applyProtection="1">
      <alignment horizontal="center" vertical="center" wrapText="1"/>
    </xf>
    <xf numFmtId="0" fontId="55" fillId="39" borderId="98" xfId="0" applyFont="1" applyFill="1" applyBorder="1" applyProtection="1"/>
    <xf numFmtId="0" fontId="55" fillId="39" borderId="80" xfId="0" applyFont="1" applyFill="1" applyBorder="1" applyProtection="1"/>
    <xf numFmtId="0" fontId="55" fillId="39" borderId="81" xfId="0" applyFont="1" applyFill="1" applyBorder="1" applyProtection="1"/>
    <xf numFmtId="0" fontId="55" fillId="39" borderId="100" xfId="0" applyFont="1" applyFill="1" applyBorder="1" applyProtection="1"/>
    <xf numFmtId="0" fontId="55" fillId="39" borderId="82" xfId="0" applyFont="1" applyFill="1" applyBorder="1" applyProtection="1"/>
    <xf numFmtId="0" fontId="55" fillId="39" borderId="83" xfId="0" applyFont="1" applyFill="1" applyBorder="1" applyProtection="1"/>
    <xf numFmtId="0" fontId="55" fillId="39" borderId="84" xfId="0" applyFont="1" applyFill="1" applyBorder="1" applyAlignment="1" applyProtection="1"/>
    <xf numFmtId="0" fontId="55" fillId="39" borderId="85" xfId="0" applyFont="1" applyFill="1" applyBorder="1" applyProtection="1"/>
    <xf numFmtId="0" fontId="55" fillId="39" borderId="0" xfId="0" applyFont="1" applyFill="1" applyBorder="1" applyProtection="1"/>
    <xf numFmtId="0" fontId="55" fillId="39" borderId="0" xfId="0" applyFont="1" applyFill="1" applyBorder="1" applyAlignment="1" applyProtection="1">
      <alignment horizontal="right" vertical="center"/>
    </xf>
    <xf numFmtId="0" fontId="55" fillId="39" borderId="0" xfId="0" applyFont="1" applyFill="1" applyBorder="1" applyAlignment="1" applyProtection="1">
      <alignment horizontal="right"/>
    </xf>
    <xf numFmtId="0" fontId="59" fillId="39" borderId="0" xfId="0" applyFont="1" applyFill="1" applyBorder="1" applyAlignment="1" applyProtection="1">
      <alignment horizontal="center"/>
    </xf>
    <xf numFmtId="0" fontId="55" fillId="39" borderId="84" xfId="0" applyFont="1" applyFill="1" applyBorder="1" applyProtection="1"/>
    <xf numFmtId="0" fontId="55" fillId="39" borderId="0" xfId="0" applyFont="1" applyFill="1" applyBorder="1" applyAlignment="1" applyProtection="1"/>
    <xf numFmtId="0" fontId="54" fillId="39" borderId="0" xfId="0" applyFont="1" applyFill="1" applyBorder="1" applyProtection="1"/>
    <xf numFmtId="0" fontId="62" fillId="0" borderId="0" xfId="0" applyFont="1" applyAlignment="1" applyProtection="1">
      <alignment vertical="center"/>
    </xf>
    <xf numFmtId="170" fontId="55" fillId="39" borderId="0" xfId="0" applyNumberFormat="1" applyFont="1" applyFill="1" applyBorder="1" applyProtection="1">
      <protection hidden="1"/>
    </xf>
    <xf numFmtId="0" fontId="62" fillId="39" borderId="0" xfId="0" applyFont="1" applyFill="1" applyBorder="1" applyProtection="1"/>
    <xf numFmtId="0" fontId="65" fillId="39" borderId="0" xfId="0" applyFont="1" applyFill="1" applyBorder="1" applyProtection="1"/>
    <xf numFmtId="170" fontId="65" fillId="39" borderId="0" xfId="0" applyNumberFormat="1" applyFont="1" applyFill="1" applyBorder="1" applyProtection="1">
      <protection hidden="1"/>
    </xf>
    <xf numFmtId="0" fontId="56" fillId="3" borderId="121" xfId="0" applyFont="1" applyFill="1" applyBorder="1" applyAlignment="1" applyProtection="1">
      <alignment horizontal="center"/>
      <protection locked="0"/>
    </xf>
    <xf numFmtId="168" fontId="55" fillId="39" borderId="0" xfId="0" applyNumberFormat="1" applyFont="1" applyFill="1" applyBorder="1" applyAlignment="1" applyProtection="1">
      <alignment horizontal="center"/>
    </xf>
    <xf numFmtId="0" fontId="62" fillId="0" borderId="0" xfId="0" applyFont="1" applyProtection="1">
      <protection locked="0"/>
    </xf>
    <xf numFmtId="0" fontId="55" fillId="39" borderId="0" xfId="0" applyFont="1" applyFill="1" applyBorder="1" applyProtection="1">
      <protection hidden="1"/>
    </xf>
    <xf numFmtId="0" fontId="55" fillId="39" borderId="82" xfId="0" applyFont="1" applyFill="1" applyBorder="1" applyAlignment="1" applyProtection="1">
      <alignment horizontal="left"/>
    </xf>
    <xf numFmtId="10" fontId="55" fillId="39" borderId="82" xfId="36" applyNumberFormat="1" applyFont="1" applyFill="1" applyBorder="1" applyAlignment="1" applyProtection="1">
      <alignment horizontal="center"/>
    </xf>
    <xf numFmtId="0" fontId="62" fillId="39" borderId="83" xfId="0" applyFont="1" applyFill="1" applyBorder="1" applyProtection="1"/>
    <xf numFmtId="0" fontId="62" fillId="39" borderId="84" xfId="0" applyFont="1" applyFill="1" applyBorder="1" applyProtection="1"/>
    <xf numFmtId="0" fontId="62" fillId="39" borderId="85" xfId="0" applyFont="1" applyFill="1" applyBorder="1" applyProtection="1"/>
    <xf numFmtId="0" fontId="55" fillId="0" borderId="129" xfId="0" applyFont="1" applyFill="1" applyBorder="1" applyAlignment="1" applyProtection="1">
      <alignment horizontal="center"/>
    </xf>
    <xf numFmtId="0" fontId="55" fillId="0" borderId="130" xfId="0" applyFont="1" applyFill="1" applyBorder="1" applyAlignment="1" applyProtection="1">
      <alignment horizontal="center"/>
    </xf>
    <xf numFmtId="10" fontId="55" fillId="39" borderId="82" xfId="37" applyNumberFormat="1" applyFont="1" applyFill="1" applyBorder="1" applyAlignment="1" applyProtection="1">
      <alignment horizontal="center"/>
    </xf>
    <xf numFmtId="0" fontId="55" fillId="2" borderId="98" xfId="0" applyFont="1" applyFill="1" applyBorder="1" applyProtection="1"/>
    <xf numFmtId="0" fontId="55" fillId="2" borderId="80" xfId="0" applyFont="1" applyFill="1" applyBorder="1" applyProtection="1"/>
    <xf numFmtId="0" fontId="63" fillId="2" borderId="80" xfId="0" applyFont="1" applyFill="1" applyBorder="1" applyAlignment="1" applyProtection="1">
      <alignment horizontal="center"/>
    </xf>
    <xf numFmtId="0" fontId="55" fillId="2" borderId="81" xfId="0" applyFont="1" applyFill="1" applyBorder="1" applyProtection="1"/>
    <xf numFmtId="0" fontId="55" fillId="2" borderId="100" xfId="0" applyFont="1" applyFill="1" applyBorder="1" applyProtection="1"/>
    <xf numFmtId="0" fontId="54" fillId="2" borderId="0" xfId="0" applyFont="1" applyFill="1" applyBorder="1" applyAlignment="1" applyProtection="1">
      <alignment horizontal="left"/>
    </xf>
    <xf numFmtId="0" fontId="55" fillId="2" borderId="82" xfId="0" applyFont="1" applyFill="1" applyBorder="1" applyProtection="1"/>
    <xf numFmtId="0" fontId="55" fillId="2" borderId="83" xfId="0" applyFont="1" applyFill="1" applyBorder="1" applyProtection="1"/>
    <xf numFmtId="0" fontId="55" fillId="2" borderId="84" xfId="0" applyFont="1" applyFill="1" applyBorder="1" applyProtection="1"/>
    <xf numFmtId="0" fontId="55" fillId="2" borderId="85" xfId="0" applyFont="1" applyFill="1" applyBorder="1" applyProtection="1"/>
    <xf numFmtId="0" fontId="66" fillId="0" borderId="0" xfId="0" applyFont="1" applyFill="1" applyBorder="1" applyAlignment="1" applyProtection="1">
      <alignment horizontal="left" vertical="center" wrapText="1"/>
      <protection locked="0"/>
    </xf>
    <xf numFmtId="0" fontId="60" fillId="0" borderId="0" xfId="0" applyFont="1" applyFill="1" applyBorder="1" applyAlignment="1" applyProtection="1">
      <alignment horizontal="center" vertical="center" wrapText="1"/>
      <protection locked="0"/>
    </xf>
    <xf numFmtId="10" fontId="60" fillId="0" borderId="0" xfId="0" applyNumberFormat="1" applyFont="1" applyFill="1" applyBorder="1" applyAlignment="1" applyProtection="1">
      <alignment horizontal="center" vertical="center" wrapText="1"/>
      <protection locked="0"/>
    </xf>
    <xf numFmtId="3" fontId="60" fillId="0" borderId="0" xfId="0" applyNumberFormat="1" applyFont="1" applyFill="1" applyBorder="1" applyAlignment="1" applyProtection="1">
      <alignment horizontal="center" vertical="center" wrapText="1"/>
      <protection locked="0"/>
    </xf>
    <xf numFmtId="0" fontId="50" fillId="0" borderId="0" xfId="0" applyFont="1" applyAlignment="1" applyProtection="1">
      <alignment horizontal="center"/>
      <protection locked="0"/>
    </xf>
    <xf numFmtId="2" fontId="50" fillId="0" borderId="0" xfId="0" applyNumberFormat="1" applyFont="1" applyProtection="1">
      <protection locked="0"/>
    </xf>
    <xf numFmtId="3" fontId="50" fillId="0" borderId="0" xfId="0" applyNumberFormat="1" applyFont="1" applyFill="1" applyBorder="1" applyAlignment="1" applyProtection="1">
      <alignment horizontal="center"/>
      <protection locked="0"/>
    </xf>
    <xf numFmtId="0" fontId="55" fillId="0" borderId="0" xfId="0" applyFont="1" applyAlignment="1"/>
    <xf numFmtId="0" fontId="55" fillId="0" borderId="0" xfId="0" applyFont="1"/>
    <xf numFmtId="0" fontId="52" fillId="0" borderId="0" xfId="0" applyFont="1" applyBorder="1" applyAlignment="1" applyProtection="1">
      <alignment horizontal="left"/>
    </xf>
    <xf numFmtId="0" fontId="50" fillId="0" borderId="0" xfId="0" quotePrefix="1" applyFont="1" applyProtection="1">
      <protection locked="0"/>
    </xf>
    <xf numFmtId="3" fontId="68" fillId="0" borderId="0" xfId="0" applyNumberFormat="1" applyFont="1" applyBorder="1" applyProtection="1"/>
    <xf numFmtId="171" fontId="54" fillId="0" borderId="0" xfId="0" applyNumberFormat="1" applyFont="1" applyFill="1" applyBorder="1" applyAlignment="1" applyProtection="1">
      <alignment horizontal="center" vertical="center"/>
    </xf>
    <xf numFmtId="3" fontId="50" fillId="0" borderId="0" xfId="0" applyNumberFormat="1" applyFont="1" applyFill="1" applyBorder="1" applyAlignment="1" applyProtection="1">
      <alignment horizontal="center"/>
    </xf>
    <xf numFmtId="1" fontId="47" fillId="0" borderId="0" xfId="0" applyNumberFormat="1" applyFont="1" applyFill="1" applyBorder="1" applyAlignment="1" applyProtection="1">
      <alignment horizontal="center"/>
    </xf>
    <xf numFmtId="0" fontId="67" fillId="0" borderId="0" xfId="0" applyFont="1" applyFill="1" applyBorder="1" applyAlignment="1" applyProtection="1">
      <alignment horizontal="center" vertical="center"/>
    </xf>
    <xf numFmtId="0" fontId="46" fillId="40" borderId="131" xfId="0" applyFont="1" applyFill="1" applyBorder="1" applyAlignment="1" applyProtection="1">
      <alignment horizontal="center"/>
    </xf>
    <xf numFmtId="174" fontId="49" fillId="40" borderId="87" xfId="0" applyNumberFormat="1" applyFont="1" applyFill="1" applyBorder="1" applyAlignment="1" applyProtection="1">
      <alignment horizontal="left"/>
    </xf>
    <xf numFmtId="0" fontId="46" fillId="40" borderId="121" xfId="0" applyFont="1" applyFill="1" applyBorder="1" applyAlignment="1" applyProtection="1">
      <alignment horizontal="center" vertical="center"/>
    </xf>
    <xf numFmtId="0" fontId="54" fillId="40" borderId="121" xfId="0" applyFont="1" applyFill="1" applyBorder="1" applyAlignment="1" applyProtection="1">
      <alignment vertical="center"/>
    </xf>
    <xf numFmtId="0" fontId="67" fillId="40" borderId="121" xfId="0" applyFont="1" applyFill="1" applyBorder="1" applyAlignment="1" applyProtection="1">
      <alignment horizontal="center" vertical="center"/>
    </xf>
    <xf numFmtId="0" fontId="50" fillId="6" borderId="103" xfId="0" applyFont="1" applyFill="1" applyBorder="1" applyProtection="1"/>
    <xf numFmtId="0" fontId="67" fillId="6" borderId="96" xfId="0" applyFont="1" applyFill="1" applyBorder="1" applyAlignment="1" applyProtection="1">
      <alignment horizontal="left"/>
    </xf>
    <xf numFmtId="0" fontId="46" fillId="40" borderId="119" xfId="0" applyFont="1" applyFill="1" applyBorder="1" applyAlignment="1" applyProtection="1">
      <alignment horizontal="center" vertical="center"/>
    </xf>
    <xf numFmtId="0" fontId="46" fillId="40" borderId="123" xfId="0" applyFont="1" applyFill="1" applyBorder="1" applyAlignment="1" applyProtection="1">
      <alignment horizontal="center" vertical="center" wrapText="1"/>
    </xf>
    <xf numFmtId="0" fontId="46" fillId="40" borderId="121" xfId="0" applyFont="1" applyFill="1" applyBorder="1" applyAlignment="1" applyProtection="1">
      <alignment vertical="center" wrapText="1"/>
    </xf>
    <xf numFmtId="3" fontId="48" fillId="35" borderId="82" xfId="0" applyNumberFormat="1" applyFont="1" applyFill="1" applyBorder="1" applyAlignment="1" applyProtection="1">
      <alignment horizontal="center"/>
    </xf>
    <xf numFmtId="0" fontId="48" fillId="35" borderId="82" xfId="0" applyFont="1" applyFill="1" applyBorder="1" applyAlignment="1" applyProtection="1">
      <alignment horizontal="center"/>
    </xf>
    <xf numFmtId="0" fontId="48" fillId="35" borderId="99" xfId="0" applyFont="1" applyFill="1" applyBorder="1" applyProtection="1"/>
    <xf numFmtId="0" fontId="48" fillId="35" borderId="93" xfId="0" applyFont="1" applyFill="1" applyBorder="1" applyProtection="1"/>
    <xf numFmtId="0" fontId="48" fillId="35" borderId="92" xfId="0" applyFont="1" applyFill="1" applyBorder="1" applyProtection="1"/>
    <xf numFmtId="1" fontId="47" fillId="6" borderId="121" xfId="0" applyNumberFormat="1" applyFont="1" applyFill="1" applyBorder="1" applyAlignment="1" applyProtection="1">
      <alignment horizontal="center"/>
    </xf>
    <xf numFmtId="0" fontId="48" fillId="35" borderId="91" xfId="0" applyFont="1" applyFill="1" applyBorder="1" applyProtection="1"/>
    <xf numFmtId="0" fontId="48" fillId="35" borderId="105" xfId="0" applyFont="1" applyFill="1" applyBorder="1" applyAlignment="1" applyProtection="1">
      <alignment horizontal="center"/>
    </xf>
    <xf numFmtId="0" fontId="48" fillId="35" borderId="109" xfId="0" applyFont="1" applyFill="1" applyBorder="1" applyProtection="1"/>
    <xf numFmtId="0" fontId="48" fillId="35" borderId="106" xfId="0" applyFont="1" applyFill="1" applyBorder="1" applyAlignment="1" applyProtection="1">
      <alignment horizontal="center"/>
    </xf>
    <xf numFmtId="0" fontId="52" fillId="35" borderId="0" xfId="0" applyFont="1" applyFill="1" applyBorder="1" applyAlignment="1" applyProtection="1">
      <alignment horizontal="left"/>
    </xf>
    <xf numFmtId="0" fontId="67" fillId="40" borderId="123" xfId="0" applyFont="1" applyFill="1" applyBorder="1" applyAlignment="1" applyProtection="1">
      <alignment horizontal="center" vertical="center"/>
    </xf>
    <xf numFmtId="0" fontId="54" fillId="40" borderId="119" xfId="0" applyFont="1" applyFill="1" applyBorder="1" applyAlignment="1" applyProtection="1">
      <alignment vertical="center"/>
    </xf>
    <xf numFmtId="0" fontId="50" fillId="35" borderId="98" xfId="0" applyFont="1" applyFill="1" applyBorder="1" applyProtection="1"/>
    <xf numFmtId="0" fontId="52" fillId="35" borderId="81" xfId="0" applyFont="1" applyFill="1" applyBorder="1" applyAlignment="1" applyProtection="1">
      <alignment horizontal="left"/>
    </xf>
    <xf numFmtId="0" fontId="50" fillId="35" borderId="100" xfId="0" applyFont="1" applyFill="1" applyBorder="1" applyProtection="1"/>
    <xf numFmtId="0" fontId="52" fillId="35" borderId="82" xfId="0" applyFont="1" applyFill="1" applyBorder="1" applyAlignment="1" applyProtection="1">
      <alignment horizontal="left"/>
    </xf>
    <xf numFmtId="0" fontId="50" fillId="35" borderId="83" xfId="0" applyFont="1" applyFill="1" applyBorder="1" applyProtection="1"/>
    <xf numFmtId="0" fontId="52" fillId="35" borderId="85" xfId="0" applyFont="1" applyFill="1" applyBorder="1" applyAlignment="1" applyProtection="1">
      <alignment horizontal="left"/>
    </xf>
    <xf numFmtId="0" fontId="50" fillId="6" borderId="119" xfId="0" applyFont="1" applyFill="1" applyBorder="1" applyProtection="1"/>
    <xf numFmtId="0" fontId="49" fillId="6" borderId="123" xfId="0" applyFont="1" applyFill="1" applyBorder="1" applyAlignment="1" applyProtection="1">
      <alignment horizontal="right"/>
    </xf>
    <xf numFmtId="3" fontId="49" fillId="0" borderId="121" xfId="0" applyNumberFormat="1" applyFont="1" applyFill="1" applyBorder="1" applyAlignment="1" applyProtection="1">
      <alignment horizontal="center"/>
    </xf>
    <xf numFmtId="16" fontId="46" fillId="40" borderId="121" xfId="0" applyNumberFormat="1" applyFont="1" applyFill="1" applyBorder="1" applyAlignment="1" applyProtection="1">
      <alignment horizontal="center" vertical="center"/>
    </xf>
    <xf numFmtId="0" fontId="54" fillId="40" borderId="121" xfId="0" applyFont="1" applyFill="1" applyBorder="1" applyAlignment="1" applyProtection="1">
      <alignment horizontal="left" vertical="center"/>
    </xf>
    <xf numFmtId="0" fontId="50" fillId="35" borderId="119" xfId="0" applyFont="1" applyFill="1" applyBorder="1" applyProtection="1"/>
    <xf numFmtId="0" fontId="48" fillId="35" borderId="123" xfId="0" applyFont="1" applyFill="1" applyBorder="1" applyProtection="1"/>
    <xf numFmtId="0" fontId="54" fillId="40" borderId="122" xfId="0" applyFont="1" applyFill="1" applyBorder="1" applyAlignment="1" applyProtection="1">
      <alignment vertical="center"/>
    </xf>
    <xf numFmtId="0" fontId="50" fillId="0" borderId="80" xfId="0" applyFont="1" applyBorder="1" applyProtection="1">
      <protection locked="0"/>
    </xf>
    <xf numFmtId="0" fontId="50" fillId="0" borderId="81" xfId="0" applyFont="1" applyBorder="1" applyProtection="1">
      <protection locked="0"/>
    </xf>
    <xf numFmtId="0" fontId="50" fillId="0" borderId="84" xfId="0" applyFont="1" applyBorder="1" applyProtection="1">
      <protection locked="0"/>
    </xf>
    <xf numFmtId="0" fontId="50" fillId="0" borderId="85" xfId="0" applyFont="1" applyBorder="1" applyProtection="1">
      <protection locked="0"/>
    </xf>
    <xf numFmtId="0" fontId="50" fillId="0" borderId="0" xfId="0" applyFont="1" applyFill="1" applyBorder="1" applyProtection="1">
      <protection locked="0"/>
    </xf>
    <xf numFmtId="3" fontId="50" fillId="0" borderId="0" xfId="0" applyNumberFormat="1" applyFont="1" applyFill="1" applyBorder="1" applyProtection="1">
      <protection locked="0"/>
    </xf>
    <xf numFmtId="0" fontId="46" fillId="40" borderId="28" xfId="0" applyFont="1" applyFill="1" applyBorder="1" applyAlignment="1" applyProtection="1">
      <alignment horizontal="left"/>
    </xf>
    <xf numFmtId="0" fontId="54" fillId="40" borderId="51" xfId="0" applyFont="1" applyFill="1" applyBorder="1" applyAlignment="1" applyProtection="1">
      <alignment horizontal="center"/>
    </xf>
    <xf numFmtId="0" fontId="52" fillId="40" borderId="20" xfId="0" applyFont="1" applyFill="1" applyBorder="1" applyAlignment="1" applyProtection="1">
      <alignment horizontal="left"/>
    </xf>
    <xf numFmtId="0" fontId="47" fillId="40" borderId="26" xfId="0" applyFont="1" applyFill="1" applyBorder="1" applyAlignment="1" applyProtection="1">
      <alignment horizontal="center"/>
    </xf>
    <xf numFmtId="16" fontId="50" fillId="0" borderId="0" xfId="0" quotePrefix="1" applyNumberFormat="1" applyFont="1" applyBorder="1" applyProtection="1">
      <protection locked="0"/>
    </xf>
    <xf numFmtId="4" fontId="50" fillId="0" borderId="0" xfId="0" applyNumberFormat="1" applyFont="1" applyFill="1" applyBorder="1" applyProtection="1">
      <protection locked="0"/>
    </xf>
    <xf numFmtId="3" fontId="50" fillId="0" borderId="0" xfId="0" applyNumberFormat="1" applyFont="1" applyBorder="1" applyProtection="1">
      <protection locked="0"/>
    </xf>
    <xf numFmtId="0" fontId="51" fillId="0" borderId="0" xfId="0" applyFont="1" applyFill="1" applyBorder="1" applyProtection="1">
      <protection locked="0"/>
    </xf>
    <xf numFmtId="16" fontId="50" fillId="0" borderId="0" xfId="0" applyNumberFormat="1" applyFont="1" applyFill="1" applyBorder="1" applyProtection="1">
      <protection locked="0"/>
    </xf>
    <xf numFmtId="0" fontId="47" fillId="0" borderId="0" xfId="0" applyFont="1" applyFill="1" applyBorder="1" applyProtection="1">
      <protection locked="0"/>
    </xf>
    <xf numFmtId="3" fontId="48" fillId="0" borderId="0" xfId="0" applyNumberFormat="1" applyFont="1" applyFill="1" applyBorder="1" applyProtection="1">
      <protection locked="0"/>
    </xf>
    <xf numFmtId="3" fontId="51" fillId="0" borderId="0" xfId="0" applyNumberFormat="1" applyFont="1" applyFill="1" applyBorder="1" applyProtection="1">
      <protection locked="0"/>
    </xf>
    <xf numFmtId="0" fontId="46" fillId="7" borderId="28" xfId="0" applyFont="1" applyFill="1" applyBorder="1" applyAlignment="1" applyProtection="1">
      <alignment horizontal="left"/>
    </xf>
    <xf numFmtId="0" fontId="54" fillId="7" borderId="51" xfId="0" applyFont="1" applyFill="1" applyBorder="1" applyAlignment="1" applyProtection="1">
      <alignment horizontal="center"/>
    </xf>
    <xf numFmtId="0" fontId="52" fillId="7" borderId="20" xfId="0" applyFont="1" applyFill="1" applyBorder="1" applyAlignment="1" applyProtection="1">
      <alignment horizontal="left"/>
    </xf>
    <xf numFmtId="0" fontId="47" fillId="7" borderId="26" xfId="0" applyFont="1" applyFill="1" applyBorder="1" applyAlignment="1" applyProtection="1">
      <alignment horizontal="center"/>
    </xf>
    <xf numFmtId="0" fontId="51" fillId="7" borderId="11" xfId="0" applyFont="1" applyFill="1" applyBorder="1" applyProtection="1"/>
    <xf numFmtId="0" fontId="51" fillId="0" borderId="0" xfId="0" applyFont="1" applyFill="1" applyBorder="1" applyAlignment="1" applyProtection="1">
      <alignment horizontal="left"/>
      <protection locked="0"/>
    </xf>
    <xf numFmtId="16" fontId="51" fillId="0" borderId="0" xfId="0" quotePrefix="1" applyNumberFormat="1" applyFont="1" applyFill="1" applyBorder="1" applyProtection="1">
      <protection locked="0"/>
    </xf>
    <xf numFmtId="3" fontId="51" fillId="0" borderId="0" xfId="0" applyNumberFormat="1" applyFont="1" applyBorder="1" applyProtection="1">
      <protection locked="0"/>
    </xf>
    <xf numFmtId="4" fontId="50" fillId="0" borderId="0" xfId="0" applyNumberFormat="1" applyFont="1" applyBorder="1" applyProtection="1">
      <protection locked="0"/>
    </xf>
    <xf numFmtId="0" fontId="48" fillId="0" borderId="0" xfId="0" applyFont="1" applyBorder="1" applyProtection="1">
      <protection locked="0"/>
    </xf>
    <xf numFmtId="0" fontId="47" fillId="0" borderId="0" xfId="0" applyFont="1" applyBorder="1" applyProtection="1">
      <protection locked="0"/>
    </xf>
    <xf numFmtId="3" fontId="47" fillId="0" borderId="0" xfId="0" applyNumberFormat="1" applyFont="1" applyFill="1" applyBorder="1" applyProtection="1">
      <protection locked="0"/>
    </xf>
    <xf numFmtId="0" fontId="67" fillId="0" borderId="0" xfId="0" applyFont="1" applyBorder="1" applyProtection="1">
      <protection locked="0"/>
    </xf>
    <xf numFmtId="3" fontId="48" fillId="3" borderId="131" xfId="12" applyNumberFormat="1" applyFont="1" applyFill="1" applyBorder="1" applyProtection="1">
      <protection locked="0"/>
    </xf>
    <xf numFmtId="3" fontId="48" fillId="3" borderId="133" xfId="12" applyNumberFormat="1" applyFont="1" applyFill="1" applyBorder="1" applyProtection="1">
      <protection locked="0"/>
    </xf>
    <xf numFmtId="3" fontId="67" fillId="0" borderId="104" xfId="0" applyNumberFormat="1" applyFont="1" applyBorder="1" applyProtection="1"/>
    <xf numFmtId="3" fontId="67" fillId="0" borderId="130" xfId="0" applyNumberFormat="1" applyFont="1" applyBorder="1" applyProtection="1"/>
    <xf numFmtId="3" fontId="48" fillId="32" borderId="0" xfId="0" applyNumberFormat="1" applyFont="1" applyFill="1" applyBorder="1" applyProtection="1">
      <protection locked="0"/>
    </xf>
    <xf numFmtId="3" fontId="48" fillId="3" borderId="0" xfId="0" applyNumberFormat="1" applyFont="1" applyFill="1" applyBorder="1" applyAlignment="1" applyProtection="1">
      <protection locked="0"/>
    </xf>
    <xf numFmtId="3" fontId="47" fillId="0" borderId="0" xfId="0" applyNumberFormat="1" applyFont="1" applyFill="1" applyBorder="1" applyAlignment="1" applyProtection="1"/>
    <xf numFmtId="3" fontId="48" fillId="3" borderId="0" xfId="10" applyNumberFormat="1" applyFont="1" applyFill="1" applyBorder="1" applyAlignment="1" applyProtection="1">
      <protection locked="0"/>
    </xf>
    <xf numFmtId="3" fontId="48" fillId="3" borderId="0" xfId="10" applyNumberFormat="1" applyFont="1" applyFill="1" applyBorder="1" applyProtection="1">
      <protection locked="0"/>
    </xf>
    <xf numFmtId="0" fontId="46" fillId="42" borderId="28" xfId="0" applyFont="1" applyFill="1" applyBorder="1" applyAlignment="1" applyProtection="1">
      <alignment horizontal="left"/>
    </xf>
    <xf numFmtId="0" fontId="46" fillId="42" borderId="16" xfId="0" applyFont="1" applyFill="1" applyBorder="1" applyAlignment="1" applyProtection="1">
      <alignment horizontal="left"/>
    </xf>
    <xf numFmtId="0" fontId="54" fillId="42" borderId="51" xfId="0" applyFont="1" applyFill="1" applyBorder="1" applyAlignment="1" applyProtection="1">
      <alignment horizontal="center"/>
    </xf>
    <xf numFmtId="0" fontId="52" fillId="42" borderId="20" xfId="0" applyFont="1" applyFill="1" applyBorder="1" applyAlignment="1" applyProtection="1">
      <alignment horizontal="left"/>
    </xf>
    <xf numFmtId="0" fontId="47" fillId="42" borderId="26" xfId="0" applyFont="1" applyFill="1" applyBorder="1" applyAlignment="1" applyProtection="1">
      <alignment horizontal="center"/>
    </xf>
    <xf numFmtId="0" fontId="54" fillId="7" borderId="39" xfId="0" applyFont="1" applyFill="1" applyBorder="1" applyAlignment="1" applyProtection="1">
      <alignment horizontal="center"/>
    </xf>
    <xf numFmtId="0" fontId="54" fillId="40" borderId="39" xfId="0" applyFont="1" applyFill="1" applyBorder="1" applyAlignment="1" applyProtection="1">
      <alignment horizontal="center"/>
    </xf>
    <xf numFmtId="3" fontId="48" fillId="6" borderId="11" xfId="0" applyNumberFormat="1" applyFont="1" applyFill="1" applyBorder="1" applyProtection="1"/>
    <xf numFmtId="16" fontId="50" fillId="35" borderId="1" xfId="0" quotePrefix="1" applyNumberFormat="1" applyFont="1" applyFill="1" applyBorder="1" applyProtection="1"/>
    <xf numFmtId="0" fontId="52" fillId="35" borderId="0" xfId="0" applyNumberFormat="1" applyFont="1" applyFill="1" applyBorder="1" applyProtection="1"/>
    <xf numFmtId="16" fontId="50" fillId="35" borderId="1" xfId="0" applyNumberFormat="1" applyFont="1" applyFill="1" applyBorder="1" applyProtection="1"/>
    <xf numFmtId="0" fontId="48" fillId="35" borderId="0" xfId="0" applyNumberFormat="1" applyFont="1" applyFill="1" applyBorder="1" applyProtection="1"/>
    <xf numFmtId="3" fontId="48" fillId="35" borderId="9" xfId="0" applyNumberFormat="1" applyFont="1" applyFill="1" applyBorder="1" applyProtection="1"/>
    <xf numFmtId="0" fontId="48" fillId="5" borderId="0" xfId="0" applyNumberFormat="1" applyFont="1" applyFill="1" applyBorder="1" applyAlignment="1" applyProtection="1">
      <alignment horizontal="left"/>
      <protection locked="0"/>
    </xf>
    <xf numFmtId="0" fontId="20" fillId="0" borderId="0" xfId="0" applyFont="1" applyFill="1" applyBorder="1" applyAlignment="1" applyProtection="1">
      <alignment vertical="center"/>
      <protection locked="0"/>
    </xf>
    <xf numFmtId="16" fontId="50" fillId="35" borderId="100" xfId="0" quotePrefix="1" applyNumberFormat="1" applyFont="1" applyFill="1" applyBorder="1" applyProtection="1"/>
    <xf numFmtId="0" fontId="54" fillId="40" borderId="87" xfId="0" applyFont="1" applyFill="1" applyBorder="1" applyAlignment="1" applyProtection="1">
      <alignment horizontal="center"/>
    </xf>
    <xf numFmtId="0" fontId="52" fillId="40" borderId="103" xfId="0" applyFont="1" applyFill="1" applyBorder="1" applyAlignment="1" applyProtection="1">
      <alignment horizontal="left"/>
    </xf>
    <xf numFmtId="0" fontId="47" fillId="40" borderId="97" xfId="0" applyFont="1" applyFill="1" applyBorder="1" applyAlignment="1" applyProtection="1">
      <alignment horizontal="center"/>
    </xf>
    <xf numFmtId="16" fontId="50" fillId="35" borderId="100" xfId="0" applyNumberFormat="1" applyFont="1" applyFill="1" applyBorder="1" applyProtection="1"/>
    <xf numFmtId="3" fontId="48" fillId="35" borderId="82" xfId="0" applyNumberFormat="1" applyFont="1" applyFill="1" applyBorder="1" applyProtection="1"/>
    <xf numFmtId="0" fontId="51" fillId="40" borderId="104" xfId="0" applyFont="1" applyFill="1" applyBorder="1" applyProtection="1"/>
    <xf numFmtId="0" fontId="46" fillId="7" borderId="86" xfId="0" applyFont="1" applyFill="1" applyBorder="1" applyAlignment="1" applyProtection="1">
      <alignment horizontal="center"/>
    </xf>
    <xf numFmtId="0" fontId="54" fillId="7" borderId="87" xfId="0" applyFont="1" applyFill="1" applyBorder="1" applyAlignment="1" applyProtection="1">
      <alignment horizontal="center"/>
    </xf>
    <xf numFmtId="0" fontId="52" fillId="7" borderId="84" xfId="0" applyFont="1" applyFill="1" applyBorder="1" applyAlignment="1" applyProtection="1">
      <alignment horizontal="left"/>
    </xf>
    <xf numFmtId="0" fontId="47" fillId="7" borderId="92" xfId="0" applyFont="1" applyFill="1" applyBorder="1" applyAlignment="1" applyProtection="1">
      <alignment horizontal="center"/>
    </xf>
    <xf numFmtId="0" fontId="46" fillId="7" borderId="88" xfId="0" applyFont="1" applyFill="1" applyBorder="1" applyAlignment="1" applyProtection="1">
      <alignment horizontal="left"/>
    </xf>
    <xf numFmtId="0" fontId="46" fillId="7" borderId="90" xfId="0" applyFont="1" applyFill="1" applyBorder="1" applyAlignment="1" applyProtection="1">
      <alignment horizontal="left"/>
    </xf>
    <xf numFmtId="0" fontId="52" fillId="7" borderId="103" xfId="0" applyFont="1" applyFill="1" applyBorder="1" applyAlignment="1" applyProtection="1">
      <alignment horizontal="left"/>
    </xf>
    <xf numFmtId="0" fontId="51" fillId="7" borderId="104" xfId="0" applyFont="1" applyFill="1" applyBorder="1" applyProtection="1"/>
    <xf numFmtId="0" fontId="52" fillId="35" borderId="100" xfId="0" applyFont="1" applyFill="1" applyBorder="1" applyAlignment="1" applyProtection="1">
      <alignment horizontal="left"/>
    </xf>
    <xf numFmtId="3" fontId="47" fillId="0" borderId="82" xfId="0" applyNumberFormat="1" applyFont="1" applyFill="1" applyBorder="1" applyAlignment="1" applyProtection="1"/>
    <xf numFmtId="0" fontId="46" fillId="42" borderId="86" xfId="0" applyFont="1" applyFill="1" applyBorder="1" applyAlignment="1" applyProtection="1">
      <alignment horizontal="center"/>
    </xf>
    <xf numFmtId="0" fontId="54" fillId="42" borderId="87" xfId="0" applyFont="1" applyFill="1" applyBorder="1" applyAlignment="1" applyProtection="1">
      <alignment horizontal="center"/>
    </xf>
    <xf numFmtId="0" fontId="52" fillId="35" borderId="98" xfId="0" applyFont="1" applyFill="1" applyBorder="1" applyAlignment="1" applyProtection="1">
      <alignment horizontal="left"/>
    </xf>
    <xf numFmtId="0" fontId="48" fillId="35" borderId="80" xfId="0" applyNumberFormat="1" applyFont="1" applyFill="1" applyBorder="1" applyProtection="1"/>
    <xf numFmtId="0" fontId="46" fillId="42" borderId="88" xfId="0" applyFont="1" applyFill="1" applyBorder="1" applyAlignment="1" applyProtection="1">
      <alignment horizontal="left"/>
    </xf>
    <xf numFmtId="0" fontId="46" fillId="42" borderId="90" xfId="0" applyFont="1" applyFill="1" applyBorder="1" applyAlignment="1" applyProtection="1">
      <alignment horizontal="left"/>
    </xf>
    <xf numFmtId="0" fontId="52" fillId="42" borderId="103" xfId="0" applyFont="1" applyFill="1" applyBorder="1" applyAlignment="1" applyProtection="1">
      <alignment horizontal="left"/>
    </xf>
    <xf numFmtId="0" fontId="47" fillId="42" borderId="97" xfId="0" applyFont="1" applyFill="1" applyBorder="1" applyAlignment="1" applyProtection="1">
      <alignment horizontal="center"/>
    </xf>
    <xf numFmtId="0" fontId="51" fillId="42" borderId="104" xfId="0" applyFont="1" applyFill="1" applyBorder="1" applyProtection="1"/>
    <xf numFmtId="0" fontId="51" fillId="35" borderId="81" xfId="0" applyFont="1" applyFill="1" applyBorder="1" applyProtection="1"/>
    <xf numFmtId="0" fontId="51" fillId="35" borderId="82" xfId="0" applyFont="1" applyFill="1" applyBorder="1" applyProtection="1"/>
    <xf numFmtId="0" fontId="54" fillId="40" borderId="86" xfId="0" applyFont="1" applyFill="1" applyBorder="1" applyAlignment="1" applyProtection="1">
      <alignment horizontal="center"/>
    </xf>
    <xf numFmtId="0" fontId="46" fillId="40" borderId="140" xfId="0" applyFont="1" applyFill="1" applyBorder="1" applyAlignment="1" applyProtection="1">
      <alignment horizontal="left"/>
    </xf>
    <xf numFmtId="0" fontId="46" fillId="40" borderId="139" xfId="0" applyFont="1" applyFill="1" applyBorder="1" applyAlignment="1" applyProtection="1">
      <alignment horizontal="left"/>
    </xf>
    <xf numFmtId="0" fontId="52" fillId="40" borderId="141" xfId="0" applyFont="1" applyFill="1" applyBorder="1" applyAlignment="1" applyProtection="1">
      <alignment horizontal="left"/>
    </xf>
    <xf numFmtId="3" fontId="48" fillId="35" borderId="0" xfId="0" applyNumberFormat="1" applyFont="1" applyFill="1" applyBorder="1" applyProtection="1"/>
    <xf numFmtId="0" fontId="54" fillId="7" borderId="98" xfId="0" applyFont="1" applyFill="1" applyBorder="1" applyAlignment="1" applyProtection="1">
      <alignment horizontal="center"/>
    </xf>
    <xf numFmtId="0" fontId="47" fillId="7" borderId="97" xfId="0" applyFont="1" applyFill="1" applyBorder="1" applyAlignment="1" applyProtection="1">
      <alignment horizontal="center"/>
    </xf>
    <xf numFmtId="0" fontId="54" fillId="7" borderId="86" xfId="0" applyFont="1" applyFill="1" applyBorder="1" applyAlignment="1" applyProtection="1">
      <alignment horizontal="center"/>
    </xf>
    <xf numFmtId="179" fontId="48" fillId="35" borderId="100" xfId="0" applyNumberFormat="1" applyFont="1" applyFill="1" applyBorder="1" applyAlignment="1" applyProtection="1">
      <alignment horizontal="center"/>
    </xf>
    <xf numFmtId="179" fontId="48" fillId="35" borderId="0" xfId="0" applyNumberFormat="1" applyFont="1" applyFill="1" applyBorder="1" applyAlignment="1" applyProtection="1">
      <alignment horizontal="left"/>
    </xf>
    <xf numFmtId="179" fontId="48" fillId="35" borderId="83" xfId="0" quotePrefix="1" applyNumberFormat="1" applyFont="1" applyFill="1" applyBorder="1" applyAlignment="1" applyProtection="1">
      <alignment horizontal="center"/>
    </xf>
    <xf numFmtId="179" fontId="48" fillId="35" borderId="84" xfId="0" applyNumberFormat="1" applyFont="1" applyFill="1" applyBorder="1" applyAlignment="1" applyProtection="1">
      <alignment horizontal="left"/>
    </xf>
    <xf numFmtId="3" fontId="50" fillId="0" borderId="9" xfId="0" applyNumberFormat="1" applyFont="1" applyBorder="1" applyProtection="1">
      <protection locked="0"/>
    </xf>
    <xf numFmtId="16" fontId="70" fillId="0" borderId="0" xfId="0" applyNumberFormat="1" applyFont="1" applyFill="1" applyBorder="1" applyProtection="1">
      <protection locked="0"/>
    </xf>
    <xf numFmtId="0" fontId="70" fillId="0" borderId="0" xfId="0" applyFont="1" applyBorder="1" applyProtection="1">
      <protection locked="0"/>
    </xf>
    <xf numFmtId="0" fontId="55" fillId="7" borderId="16" xfId="0" applyFont="1" applyFill="1" applyBorder="1" applyAlignment="1" applyProtection="1"/>
    <xf numFmtId="16" fontId="70" fillId="0" borderId="0" xfId="0" quotePrefix="1" applyNumberFormat="1" applyFont="1" applyBorder="1" applyAlignment="1" applyProtection="1">
      <protection locked="0"/>
    </xf>
    <xf numFmtId="0" fontId="51" fillId="7" borderId="16" xfId="0" applyFont="1" applyFill="1" applyBorder="1" applyAlignment="1" applyProtection="1">
      <alignment horizontal="left"/>
    </xf>
    <xf numFmtId="16" fontId="70" fillId="0" borderId="0" xfId="0" quotePrefix="1" applyNumberFormat="1" applyFont="1" applyBorder="1" applyProtection="1">
      <protection locked="0"/>
    </xf>
    <xf numFmtId="0" fontId="50" fillId="0" borderId="0" xfId="13" applyFont="1" applyBorder="1" applyProtection="1">
      <protection locked="0"/>
    </xf>
    <xf numFmtId="168" fontId="50" fillId="0" borderId="0" xfId="13" applyNumberFormat="1" applyFont="1" applyBorder="1" applyProtection="1">
      <protection locked="0"/>
    </xf>
    <xf numFmtId="3" fontId="50" fillId="0" borderId="0" xfId="13" applyNumberFormat="1" applyFont="1" applyBorder="1" applyProtection="1">
      <protection locked="0"/>
    </xf>
    <xf numFmtId="0" fontId="55" fillId="0" borderId="0" xfId="13" applyFont="1" applyFill="1" applyBorder="1" applyAlignment="1" applyProtection="1">
      <alignment horizontal="right"/>
      <protection locked="0"/>
    </xf>
    <xf numFmtId="0" fontId="50" fillId="0" borderId="0" xfId="13" applyFont="1" applyFill="1" applyBorder="1" applyAlignment="1" applyProtection="1">
      <alignment horizontal="center"/>
      <protection locked="0"/>
    </xf>
    <xf numFmtId="170" fontId="62" fillId="0" borderId="0" xfId="13" applyNumberFormat="1" applyFont="1" applyFill="1" applyBorder="1" applyAlignment="1" applyProtection="1">
      <alignment horizontal="center"/>
      <protection locked="0"/>
    </xf>
    <xf numFmtId="173" fontId="54" fillId="0" borderId="0" xfId="13" applyNumberFormat="1" applyFont="1" applyFill="1" applyBorder="1" applyAlignment="1" applyProtection="1">
      <alignment horizontal="right"/>
      <protection locked="0"/>
    </xf>
    <xf numFmtId="173" fontId="54" fillId="0" borderId="0" xfId="13" applyNumberFormat="1" applyFont="1" applyFill="1" applyBorder="1" applyAlignment="1" applyProtection="1">
      <alignment horizontal="left"/>
      <protection locked="0"/>
    </xf>
    <xf numFmtId="173" fontId="55" fillId="0" borderId="0" xfId="13" applyNumberFormat="1" applyFont="1" applyFill="1" applyBorder="1" applyAlignment="1" applyProtection="1">
      <alignment horizontal="center"/>
      <protection locked="0"/>
    </xf>
    <xf numFmtId="0" fontId="66" fillId="2" borderId="8" xfId="13" applyFont="1" applyFill="1" applyBorder="1" applyAlignment="1" applyProtection="1">
      <alignment horizontal="center" wrapText="1"/>
    </xf>
    <xf numFmtId="0" fontId="49" fillId="2" borderId="61" xfId="0" applyFont="1" applyFill="1" applyBorder="1" applyAlignment="1" applyProtection="1">
      <alignment horizontal="center" vertical="center" wrapText="1"/>
    </xf>
    <xf numFmtId="0" fontId="49" fillId="2"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protection locked="0"/>
    </xf>
    <xf numFmtId="0" fontId="50" fillId="0" borderId="0" xfId="13" applyFont="1" applyFill="1" applyBorder="1" applyProtection="1">
      <protection locked="0"/>
    </xf>
    <xf numFmtId="0" fontId="52" fillId="2" borderId="60" xfId="13" applyFont="1" applyFill="1" applyBorder="1" applyAlignment="1" applyProtection="1">
      <alignment horizontal="left"/>
    </xf>
    <xf numFmtId="0" fontId="49" fillId="2" borderId="59" xfId="0" applyFont="1" applyFill="1" applyBorder="1" applyAlignment="1" applyProtection="1">
      <alignment horizontal="center" vertical="center"/>
    </xf>
    <xf numFmtId="0" fontId="49" fillId="2" borderId="52" xfId="0" applyFont="1" applyFill="1" applyBorder="1" applyAlignment="1" applyProtection="1">
      <alignment horizontal="center" vertical="center"/>
    </xf>
    <xf numFmtId="0" fontId="52" fillId="2" borderId="11" xfId="13" applyFont="1" applyFill="1" applyBorder="1" applyAlignment="1" applyProtection="1">
      <alignment horizontal="left"/>
    </xf>
    <xf numFmtId="0" fontId="49" fillId="2" borderId="44" xfId="0" applyFont="1" applyFill="1" applyBorder="1" applyAlignment="1" applyProtection="1">
      <alignment horizontal="center" vertical="center"/>
    </xf>
    <xf numFmtId="0" fontId="49" fillId="2" borderId="26" xfId="0" applyFont="1" applyFill="1" applyBorder="1" applyAlignment="1" applyProtection="1">
      <alignment horizontal="center" vertical="center"/>
    </xf>
    <xf numFmtId="10" fontId="49" fillId="0" borderId="0" xfId="36" applyNumberFormat="1" applyFont="1" applyFill="1" applyBorder="1" applyAlignment="1" applyProtection="1">
      <alignment horizontal="center"/>
      <protection locked="0"/>
    </xf>
    <xf numFmtId="3" fontId="48" fillId="0" borderId="0" xfId="0" applyNumberFormat="1" applyFont="1" applyFill="1" applyBorder="1" applyAlignment="1" applyProtection="1">
      <alignment horizontal="center"/>
      <protection locked="0"/>
    </xf>
    <xf numFmtId="3" fontId="52" fillId="0" borderId="0" xfId="0" applyNumberFormat="1" applyFont="1" applyFill="1" applyBorder="1" applyAlignment="1" applyProtection="1">
      <alignment horizontal="left"/>
      <protection locked="0"/>
    </xf>
    <xf numFmtId="3" fontId="52" fillId="0" borderId="0" xfId="0" applyNumberFormat="1" applyFont="1" applyFill="1" applyBorder="1" applyAlignment="1" applyProtection="1">
      <alignment horizontal="center"/>
      <protection locked="0"/>
    </xf>
    <xf numFmtId="0" fontId="69" fillId="0" borderId="0" xfId="13" applyFont="1" applyFill="1" applyBorder="1" applyProtection="1">
      <protection locked="0"/>
    </xf>
    <xf numFmtId="3" fontId="69" fillId="0" borderId="0" xfId="13" applyNumberFormat="1" applyFont="1" applyFill="1" applyBorder="1" applyProtection="1">
      <protection locked="0"/>
    </xf>
    <xf numFmtId="0" fontId="50" fillId="0" borderId="0" xfId="13" quotePrefix="1" applyFont="1" applyFill="1" applyBorder="1" applyProtection="1">
      <protection locked="0"/>
    </xf>
    <xf numFmtId="3" fontId="50" fillId="0" borderId="0" xfId="13" applyNumberFormat="1" applyFont="1" applyFill="1" applyBorder="1" applyProtection="1">
      <protection locked="0"/>
    </xf>
    <xf numFmtId="3" fontId="71" fillId="0" borderId="0" xfId="0" quotePrefix="1" applyNumberFormat="1" applyFont="1" applyFill="1" applyBorder="1" applyAlignment="1" applyProtection="1">
      <alignment horizontal="center"/>
      <protection locked="0"/>
    </xf>
    <xf numFmtId="0" fontId="70" fillId="0" borderId="0" xfId="13" applyFont="1" applyBorder="1" applyProtection="1">
      <protection locked="0"/>
    </xf>
    <xf numFmtId="169" fontId="47" fillId="0" borderId="58" xfId="13" applyNumberFormat="1" applyFont="1" applyFill="1" applyBorder="1" applyAlignment="1" applyProtection="1">
      <alignment horizontal="center"/>
    </xf>
    <xf numFmtId="16" fontId="70" fillId="0" borderId="0" xfId="13" quotePrefix="1" applyNumberFormat="1" applyFont="1" applyBorder="1" applyAlignment="1" applyProtection="1">
      <protection locked="0"/>
    </xf>
    <xf numFmtId="0" fontId="72" fillId="0" borderId="0" xfId="13" applyFont="1" applyFill="1" applyBorder="1" applyProtection="1">
      <protection locked="0"/>
    </xf>
    <xf numFmtId="16" fontId="50" fillId="0" borderId="0" xfId="13" quotePrefix="1" applyNumberFormat="1" applyFont="1" applyBorder="1" applyProtection="1">
      <protection locked="0"/>
    </xf>
    <xf numFmtId="16" fontId="50" fillId="0" borderId="0" xfId="13" applyNumberFormat="1" applyFont="1" applyFill="1" applyBorder="1" applyProtection="1">
      <protection locked="0"/>
    </xf>
    <xf numFmtId="0" fontId="51" fillId="0" borderId="0" xfId="13" applyFont="1" applyFill="1" applyBorder="1" applyProtection="1">
      <protection locked="0"/>
    </xf>
    <xf numFmtId="3" fontId="51" fillId="0" borderId="0" xfId="13" applyNumberFormat="1" applyFont="1" applyFill="1" applyBorder="1" applyProtection="1">
      <protection locked="0"/>
    </xf>
    <xf numFmtId="0" fontId="46" fillId="7" borderId="39" xfId="13" applyFont="1" applyFill="1" applyBorder="1" applyAlignment="1" applyProtection="1">
      <alignment horizontal="center"/>
    </xf>
    <xf numFmtId="0" fontId="46" fillId="7" borderId="28" xfId="13" applyFont="1" applyFill="1" applyBorder="1" applyAlignment="1" applyProtection="1">
      <alignment horizontal="left"/>
    </xf>
    <xf numFmtId="0" fontId="55" fillId="7" borderId="16" xfId="13" applyFont="1" applyFill="1" applyBorder="1" applyAlignment="1" applyProtection="1"/>
    <xf numFmtId="0" fontId="54" fillId="7" borderId="51" xfId="13" applyFont="1" applyFill="1" applyBorder="1" applyAlignment="1" applyProtection="1">
      <alignment horizontal="center"/>
    </xf>
    <xf numFmtId="0" fontId="52" fillId="7" borderId="20" xfId="13" applyFont="1" applyFill="1" applyBorder="1" applyAlignment="1" applyProtection="1">
      <alignment horizontal="left"/>
    </xf>
    <xf numFmtId="0" fontId="47" fillId="7" borderId="21" xfId="13" applyFont="1" applyFill="1" applyBorder="1" applyAlignment="1" applyProtection="1">
      <alignment horizontal="center"/>
    </xf>
    <xf numFmtId="16" fontId="50" fillId="0" borderId="0" xfId="13" quotePrefix="1" applyNumberFormat="1" applyFont="1" applyBorder="1" applyAlignment="1" applyProtection="1">
      <protection locked="0"/>
    </xf>
    <xf numFmtId="0" fontId="51" fillId="7" borderId="16" xfId="13" applyFont="1" applyFill="1" applyBorder="1" applyAlignment="1" applyProtection="1">
      <alignment horizontal="left"/>
    </xf>
    <xf numFmtId="0" fontId="51" fillId="7" borderId="11" xfId="13" applyFont="1" applyFill="1" applyBorder="1" applyProtection="1"/>
    <xf numFmtId="0" fontId="67" fillId="0" borderId="0" xfId="13" applyFont="1" applyBorder="1" applyProtection="1">
      <protection locked="0"/>
    </xf>
    <xf numFmtId="170" fontId="48" fillId="3" borderId="0" xfId="10" applyNumberFormat="1" applyFont="1" applyFill="1" applyBorder="1" applyAlignment="1" applyProtection="1">
      <protection locked="0"/>
    </xf>
    <xf numFmtId="0" fontId="69" fillId="0" borderId="0" xfId="0" applyFont="1" applyFill="1" applyBorder="1" applyProtection="1">
      <protection locked="0"/>
    </xf>
    <xf numFmtId="0" fontId="55" fillId="40" borderId="16" xfId="0" applyFont="1" applyFill="1" applyBorder="1" applyAlignment="1" applyProtection="1"/>
    <xf numFmtId="16" fontId="50" fillId="6" borderId="19" xfId="0" applyNumberFormat="1" applyFont="1" applyFill="1" applyBorder="1" applyProtection="1"/>
    <xf numFmtId="0" fontId="47" fillId="6" borderId="20" xfId="0" applyFont="1" applyFill="1" applyBorder="1" applyProtection="1"/>
    <xf numFmtId="3" fontId="47" fillId="6" borderId="26" xfId="0" applyNumberFormat="1" applyFont="1" applyFill="1" applyBorder="1" applyProtection="1"/>
    <xf numFmtId="0" fontId="50" fillId="35" borderId="1" xfId="0" applyNumberFormat="1" applyFont="1" applyFill="1" applyBorder="1" applyProtection="1"/>
    <xf numFmtId="3" fontId="48" fillId="33" borderId="1" xfId="0" applyNumberFormat="1" applyFont="1" applyFill="1" applyBorder="1" applyProtection="1"/>
    <xf numFmtId="3" fontId="48" fillId="33" borderId="0" xfId="0" applyNumberFormat="1" applyFont="1" applyFill="1" applyBorder="1" applyProtection="1"/>
    <xf numFmtId="3" fontId="48" fillId="33" borderId="9" xfId="0" applyNumberFormat="1" applyFont="1" applyFill="1" applyBorder="1" applyProtection="1"/>
    <xf numFmtId="0" fontId="51" fillId="40" borderId="16" xfId="0" applyFont="1" applyFill="1" applyBorder="1" applyAlignment="1" applyProtection="1">
      <alignment horizontal="left"/>
    </xf>
    <xf numFmtId="0" fontId="51" fillId="40" borderId="11" xfId="0" applyFont="1" applyFill="1" applyBorder="1" applyProtection="1"/>
    <xf numFmtId="3" fontId="47" fillId="33" borderId="0" xfId="0" applyNumberFormat="1" applyFont="1" applyFill="1" applyBorder="1" applyAlignment="1" applyProtection="1"/>
    <xf numFmtId="3" fontId="47" fillId="33" borderId="82" xfId="0" applyNumberFormat="1" applyFont="1" applyFill="1" applyBorder="1" applyAlignment="1" applyProtection="1"/>
    <xf numFmtId="3" fontId="48" fillId="33" borderId="99" xfId="0" applyNumberFormat="1" applyFont="1" applyFill="1" applyBorder="1" applyAlignment="1" applyProtection="1">
      <alignment horizontal="right"/>
    </xf>
    <xf numFmtId="3" fontId="48" fillId="33" borderId="93" xfId="0" applyNumberFormat="1" applyFont="1" applyFill="1" applyBorder="1" applyAlignment="1" applyProtection="1">
      <alignment horizontal="right"/>
    </xf>
    <xf numFmtId="3" fontId="48" fillId="33" borderId="109" xfId="0" applyNumberFormat="1" applyFont="1" applyFill="1" applyBorder="1" applyAlignment="1" applyProtection="1">
      <alignment horizontal="right"/>
    </xf>
    <xf numFmtId="3" fontId="48" fillId="33" borderId="112" xfId="0" applyNumberFormat="1" applyFont="1" applyFill="1" applyBorder="1" applyAlignment="1" applyProtection="1">
      <alignment horizontal="right"/>
    </xf>
    <xf numFmtId="3" fontId="48" fillId="33" borderId="113" xfId="0" applyNumberFormat="1" applyFont="1" applyFill="1" applyBorder="1" applyAlignment="1" applyProtection="1">
      <alignment horizontal="right"/>
    </xf>
    <xf numFmtId="3" fontId="52" fillId="33" borderId="86" xfId="0" applyNumberFormat="1" applyFont="1" applyFill="1" applyBorder="1" applyAlignment="1" applyProtection="1">
      <alignment horizontal="center"/>
    </xf>
    <xf numFmtId="3" fontId="52" fillId="33" borderId="131" xfId="0" applyNumberFormat="1" applyFont="1" applyFill="1" applyBorder="1" applyAlignment="1" applyProtection="1">
      <alignment horizontal="center"/>
    </xf>
    <xf numFmtId="3" fontId="69" fillId="33" borderId="87" xfId="0" applyNumberFormat="1" applyFont="1" applyFill="1" applyBorder="1" applyAlignment="1" applyProtection="1">
      <alignment horizontal="center"/>
    </xf>
    <xf numFmtId="3" fontId="69" fillId="33" borderId="131" xfId="0" applyNumberFormat="1" applyFont="1" applyFill="1" applyBorder="1" applyAlignment="1" applyProtection="1">
      <alignment horizontal="center"/>
    </xf>
    <xf numFmtId="3" fontId="47" fillId="33" borderId="93" xfId="0" applyNumberFormat="1" applyFont="1" applyFill="1" applyBorder="1" applyProtection="1"/>
    <xf numFmtId="3" fontId="47" fillId="33" borderId="99" xfId="0" applyNumberFormat="1" applyFont="1" applyFill="1" applyBorder="1" applyProtection="1"/>
    <xf numFmtId="3" fontId="47" fillId="33" borderId="92" xfId="0" applyNumberFormat="1" applyFont="1" applyFill="1" applyBorder="1" applyProtection="1"/>
    <xf numFmtId="3" fontId="47" fillId="33" borderId="24" xfId="0" applyNumberFormat="1" applyFont="1" applyFill="1" applyBorder="1" applyProtection="1"/>
    <xf numFmtId="3" fontId="47" fillId="33" borderId="25" xfId="0" applyNumberFormat="1" applyFont="1" applyFill="1" applyBorder="1" applyProtection="1"/>
    <xf numFmtId="16" fontId="70" fillId="37" borderId="19" xfId="0" applyNumberFormat="1" applyFont="1" applyFill="1" applyBorder="1" applyProtection="1"/>
    <xf numFmtId="0" fontId="47" fillId="37" borderId="20" xfId="0" applyFont="1" applyFill="1" applyBorder="1" applyProtection="1"/>
    <xf numFmtId="3" fontId="47" fillId="37" borderId="26" xfId="0" applyNumberFormat="1" applyFont="1" applyFill="1" applyBorder="1" applyProtection="1"/>
    <xf numFmtId="0" fontId="70" fillId="35" borderId="1" xfId="0" applyNumberFormat="1" applyFont="1" applyFill="1" applyBorder="1" applyProtection="1"/>
    <xf numFmtId="16" fontId="70" fillId="35" borderId="1" xfId="0" quotePrefix="1" applyNumberFormat="1" applyFont="1" applyFill="1" applyBorder="1" applyProtection="1"/>
    <xf numFmtId="0" fontId="48" fillId="35" borderId="8" xfId="0" applyNumberFormat="1" applyFont="1" applyFill="1" applyBorder="1" applyProtection="1"/>
    <xf numFmtId="0" fontId="48" fillId="35" borderId="9" xfId="0" applyNumberFormat="1" applyFont="1" applyFill="1" applyBorder="1" applyProtection="1"/>
    <xf numFmtId="16" fontId="70" fillId="35" borderId="1" xfId="0" applyNumberFormat="1" applyFont="1" applyFill="1" applyBorder="1" applyProtection="1"/>
    <xf numFmtId="16" fontId="70" fillId="30" borderId="19" xfId="0" applyNumberFormat="1" applyFont="1" applyFill="1" applyBorder="1" applyProtection="1"/>
    <xf numFmtId="0" fontId="47" fillId="30" borderId="20" xfId="0" applyFont="1" applyFill="1" applyBorder="1" applyProtection="1"/>
    <xf numFmtId="3" fontId="47" fillId="30" borderId="26" xfId="0" applyNumberFormat="1" applyFont="1" applyFill="1" applyBorder="1" applyProtection="1"/>
    <xf numFmtId="3" fontId="48" fillId="33" borderId="6" xfId="0" applyNumberFormat="1" applyFont="1" applyFill="1" applyBorder="1" applyAlignment="1" applyProtection="1"/>
    <xf numFmtId="3" fontId="48" fillId="33" borderId="7" xfId="0" applyNumberFormat="1" applyFont="1" applyFill="1" applyBorder="1" applyAlignment="1" applyProtection="1"/>
    <xf numFmtId="3" fontId="48" fillId="33" borderId="8" xfId="0" applyNumberFormat="1" applyFont="1" applyFill="1" applyBorder="1" applyAlignment="1" applyProtection="1"/>
    <xf numFmtId="3" fontId="48" fillId="33" borderId="1" xfId="0" applyNumberFormat="1" applyFont="1" applyFill="1" applyBorder="1" applyAlignment="1" applyProtection="1"/>
    <xf numFmtId="3" fontId="48" fillId="33" borderId="0" xfId="0" applyNumberFormat="1" applyFont="1" applyFill="1" applyBorder="1" applyAlignment="1" applyProtection="1"/>
    <xf numFmtId="3" fontId="48" fillId="33" borderId="9" xfId="0" applyNumberFormat="1" applyFont="1" applyFill="1" applyBorder="1" applyAlignment="1" applyProtection="1"/>
    <xf numFmtId="3" fontId="47" fillId="30" borderId="19" xfId="0" applyNumberFormat="1" applyFont="1" applyFill="1" applyBorder="1" applyAlignment="1" applyProtection="1"/>
    <xf numFmtId="3" fontId="47" fillId="30" borderId="20" xfId="0" applyNumberFormat="1" applyFont="1" applyFill="1" applyBorder="1" applyAlignment="1" applyProtection="1"/>
    <xf numFmtId="3" fontId="47" fillId="30" borderId="21" xfId="0" applyNumberFormat="1" applyFont="1" applyFill="1" applyBorder="1" applyAlignment="1" applyProtection="1"/>
    <xf numFmtId="0" fontId="54" fillId="42" borderId="39" xfId="0" applyFont="1" applyFill="1" applyBorder="1" applyAlignment="1" applyProtection="1">
      <alignment horizontal="center"/>
    </xf>
    <xf numFmtId="0" fontId="51" fillId="42" borderId="11" xfId="0" applyFont="1" applyFill="1" applyBorder="1" applyProtection="1"/>
    <xf numFmtId="0" fontId="69" fillId="35" borderId="1" xfId="0" applyNumberFormat="1" applyFont="1" applyFill="1" applyBorder="1" applyProtection="1"/>
    <xf numFmtId="0" fontId="54" fillId="40" borderId="39" xfId="13" applyFont="1" applyFill="1" applyBorder="1" applyAlignment="1" applyProtection="1">
      <alignment horizontal="center"/>
    </xf>
    <xf numFmtId="0" fontId="54" fillId="40" borderId="28" xfId="13" applyFont="1" applyFill="1" applyBorder="1" applyAlignment="1" applyProtection="1">
      <alignment horizontal="left"/>
    </xf>
    <xf numFmtId="0" fontId="55" fillId="40" borderId="16" xfId="13" applyFont="1" applyFill="1" applyBorder="1" applyAlignment="1" applyProtection="1"/>
    <xf numFmtId="0" fontId="54" fillId="40" borderId="51" xfId="13" applyFont="1" applyFill="1" applyBorder="1" applyAlignment="1" applyProtection="1">
      <alignment horizontal="center"/>
    </xf>
    <xf numFmtId="0" fontId="52" fillId="40" borderId="20" xfId="13" applyFont="1" applyFill="1" applyBorder="1" applyAlignment="1" applyProtection="1">
      <alignment horizontal="left"/>
    </xf>
    <xf numFmtId="0" fontId="47" fillId="40" borderId="26" xfId="13" applyFont="1" applyFill="1" applyBorder="1" applyAlignment="1" applyProtection="1">
      <alignment horizontal="center"/>
    </xf>
    <xf numFmtId="0" fontId="46" fillId="40" borderId="28" xfId="13" applyFont="1" applyFill="1" applyBorder="1" applyAlignment="1" applyProtection="1">
      <alignment horizontal="left"/>
    </xf>
    <xf numFmtId="0" fontId="51" fillId="40" borderId="16" xfId="13" applyFont="1" applyFill="1" applyBorder="1" applyAlignment="1" applyProtection="1">
      <alignment horizontal="left"/>
    </xf>
    <xf numFmtId="0" fontId="54" fillId="40" borderId="28" xfId="0" applyFont="1" applyFill="1" applyBorder="1" applyAlignment="1" applyProtection="1">
      <alignment horizontal="left"/>
    </xf>
    <xf numFmtId="0" fontId="47" fillId="40" borderId="21" xfId="13" applyFont="1" applyFill="1" applyBorder="1" applyAlignment="1" applyProtection="1">
      <alignment horizontal="center"/>
    </xf>
    <xf numFmtId="0" fontId="46" fillId="40" borderId="39" xfId="13" applyFont="1" applyFill="1" applyBorder="1" applyAlignment="1" applyProtection="1">
      <alignment horizontal="center"/>
    </xf>
    <xf numFmtId="0" fontId="51" fillId="40" borderId="11" xfId="13" applyFont="1" applyFill="1" applyBorder="1" applyProtection="1"/>
    <xf numFmtId="16" fontId="50" fillId="6" borderId="19" xfId="13" applyNumberFormat="1" applyFont="1" applyFill="1" applyBorder="1" applyProtection="1"/>
    <xf numFmtId="0" fontId="47" fillId="6" borderId="20" xfId="13" applyFont="1" applyFill="1" applyBorder="1" applyProtection="1"/>
    <xf numFmtId="173" fontId="47" fillId="6" borderId="19" xfId="13" applyNumberFormat="1" applyFont="1" applyFill="1" applyBorder="1" applyProtection="1"/>
    <xf numFmtId="16" fontId="50" fillId="37" borderId="19" xfId="13" applyNumberFormat="1" applyFont="1" applyFill="1" applyBorder="1" applyProtection="1"/>
    <xf numFmtId="0" fontId="47" fillId="37" borderId="20" xfId="13" applyFont="1" applyFill="1" applyBorder="1" applyProtection="1"/>
    <xf numFmtId="173" fontId="47" fillId="37" borderId="19" xfId="13" applyNumberFormat="1" applyFont="1" applyFill="1" applyBorder="1" applyProtection="1"/>
    <xf numFmtId="3" fontId="48" fillId="33" borderId="34" xfId="13" applyNumberFormat="1" applyFont="1" applyFill="1" applyBorder="1" applyAlignment="1" applyProtection="1">
      <alignment horizontal="center"/>
    </xf>
    <xf numFmtId="3" fontId="48" fillId="33" borderId="25" xfId="13" applyNumberFormat="1" applyFont="1" applyFill="1" applyBorder="1" applyAlignment="1" applyProtection="1">
      <alignment horizontal="center"/>
    </xf>
    <xf numFmtId="3" fontId="48" fillId="33" borderId="37" xfId="13" applyNumberFormat="1" applyFont="1" applyFill="1" applyBorder="1" applyAlignment="1" applyProtection="1">
      <alignment horizontal="center"/>
    </xf>
    <xf numFmtId="3" fontId="48" fillId="33" borderId="30" xfId="13" applyNumberFormat="1" applyFont="1" applyFill="1" applyBorder="1" applyAlignment="1" applyProtection="1">
      <alignment horizontal="center"/>
    </xf>
    <xf numFmtId="3" fontId="47" fillId="30" borderId="30" xfId="0" applyNumberFormat="1" applyFont="1" applyFill="1" applyBorder="1" applyProtection="1"/>
    <xf numFmtId="3" fontId="47" fillId="37" borderId="52" xfId="0" applyNumberFormat="1" applyFont="1" applyFill="1" applyBorder="1" applyProtection="1"/>
    <xf numFmtId="3" fontId="47" fillId="6" borderId="33" xfId="0" applyNumberFormat="1" applyFont="1" applyFill="1" applyBorder="1" applyProtection="1"/>
    <xf numFmtId="3" fontId="47" fillId="6" borderId="139" xfId="0" applyNumberFormat="1" applyFont="1" applyFill="1" applyBorder="1" applyProtection="1"/>
    <xf numFmtId="3" fontId="47" fillId="37" borderId="95" xfId="0" applyNumberFormat="1" applyFont="1" applyFill="1" applyBorder="1" applyProtection="1"/>
    <xf numFmtId="3" fontId="47" fillId="30" borderId="97" xfId="0" applyNumberFormat="1" applyFont="1" applyFill="1" applyBorder="1" applyProtection="1"/>
    <xf numFmtId="0" fontId="52" fillId="35" borderId="0" xfId="13" applyFont="1" applyFill="1" applyBorder="1" applyProtection="1"/>
    <xf numFmtId="0" fontId="52" fillId="35" borderId="10" xfId="13" applyFont="1" applyFill="1" applyBorder="1" applyProtection="1"/>
    <xf numFmtId="0" fontId="70" fillId="35" borderId="6" xfId="13" applyFont="1" applyFill="1" applyBorder="1" applyProtection="1"/>
    <xf numFmtId="0" fontId="70" fillId="35" borderId="1" xfId="13" applyFont="1" applyFill="1" applyBorder="1" applyProtection="1"/>
    <xf numFmtId="0" fontId="70" fillId="35" borderId="12" xfId="13" applyFont="1" applyFill="1" applyBorder="1" applyProtection="1"/>
    <xf numFmtId="0" fontId="70" fillId="35" borderId="15" xfId="13" applyNumberFormat="1" applyFont="1" applyFill="1" applyBorder="1" applyProtection="1"/>
    <xf numFmtId="0" fontId="48" fillId="35" borderId="28" xfId="13" applyFont="1" applyFill="1" applyBorder="1" applyProtection="1"/>
    <xf numFmtId="0" fontId="70" fillId="35" borderId="14" xfId="13" applyNumberFormat="1" applyFont="1" applyFill="1" applyBorder="1" applyProtection="1"/>
    <xf numFmtId="0" fontId="70" fillId="35" borderId="1" xfId="13" applyNumberFormat="1" applyFont="1" applyFill="1" applyBorder="1" applyProtection="1"/>
    <xf numFmtId="0" fontId="70" fillId="35" borderId="12" xfId="13" applyNumberFormat="1" applyFont="1" applyFill="1" applyBorder="1" applyProtection="1"/>
    <xf numFmtId="0" fontId="48" fillId="35" borderId="4" xfId="13" applyFont="1" applyFill="1" applyBorder="1" applyProtection="1"/>
    <xf numFmtId="0" fontId="48" fillId="35" borderId="0" xfId="13" applyFont="1" applyFill="1" applyBorder="1" applyProtection="1"/>
    <xf numFmtId="0" fontId="48" fillId="35" borderId="10" xfId="13" applyFont="1" applyFill="1" applyBorder="1" applyProtection="1"/>
    <xf numFmtId="169" fontId="47" fillId="35" borderId="54" xfId="13" applyNumberFormat="1" applyFont="1" applyFill="1" applyBorder="1" applyAlignment="1" applyProtection="1">
      <alignment horizontal="center"/>
    </xf>
    <xf numFmtId="169" fontId="47" fillId="35" borderId="9" xfId="13" applyNumberFormat="1" applyFont="1" applyFill="1" applyBorder="1" applyAlignment="1" applyProtection="1">
      <alignment horizontal="center"/>
    </xf>
    <xf numFmtId="169" fontId="47" fillId="35" borderId="11" xfId="13" applyNumberFormat="1" applyFont="1" applyFill="1" applyBorder="1" applyAlignment="1" applyProtection="1">
      <alignment horizontal="center"/>
    </xf>
    <xf numFmtId="3" fontId="50" fillId="33" borderId="6" xfId="13" applyNumberFormat="1" applyFont="1" applyFill="1" applyBorder="1" applyAlignment="1" applyProtection="1">
      <alignment horizontal="center"/>
      <protection hidden="1"/>
    </xf>
    <xf numFmtId="10" fontId="50" fillId="33" borderId="7" xfId="37" applyNumberFormat="1" applyFont="1" applyFill="1" applyBorder="1" applyAlignment="1" applyProtection="1">
      <alignment horizontal="center"/>
      <protection hidden="1"/>
    </xf>
    <xf numFmtId="10" fontId="50" fillId="33" borderId="8" xfId="37" applyNumberFormat="1" applyFont="1" applyFill="1" applyBorder="1" applyAlignment="1" applyProtection="1">
      <alignment horizontal="center"/>
      <protection hidden="1"/>
    </xf>
    <xf numFmtId="3" fontId="50" fillId="33" borderId="14" xfId="10" applyNumberFormat="1" applyFont="1" applyFill="1" applyBorder="1" applyAlignment="1" applyProtection="1">
      <alignment horizontal="center"/>
      <protection hidden="1"/>
    </xf>
    <xf numFmtId="3" fontId="50" fillId="33" borderId="4" xfId="10" applyNumberFormat="1" applyFont="1" applyFill="1" applyBorder="1" applyAlignment="1" applyProtection="1">
      <alignment horizontal="center"/>
      <protection hidden="1"/>
    </xf>
    <xf numFmtId="3" fontId="50" fillId="33" borderId="54" xfId="10" applyNumberFormat="1" applyFont="1" applyFill="1" applyBorder="1" applyAlignment="1" applyProtection="1">
      <alignment horizontal="center"/>
      <protection hidden="1"/>
    </xf>
    <xf numFmtId="3" fontId="50" fillId="33" borderId="1" xfId="10" applyNumberFormat="1" applyFont="1" applyFill="1" applyBorder="1" applyAlignment="1" applyProtection="1">
      <alignment horizontal="center"/>
      <protection hidden="1"/>
    </xf>
    <xf numFmtId="3" fontId="50" fillId="33" borderId="0" xfId="10" applyNumberFormat="1" applyFont="1" applyFill="1" applyBorder="1" applyAlignment="1" applyProtection="1">
      <alignment horizontal="center"/>
      <protection hidden="1"/>
    </xf>
    <xf numFmtId="3" fontId="50" fillId="33" borderId="9" xfId="10" applyNumberFormat="1" applyFont="1" applyFill="1" applyBorder="1" applyAlignment="1" applyProtection="1">
      <alignment horizontal="center"/>
      <protection hidden="1"/>
    </xf>
    <xf numFmtId="3" fontId="50" fillId="33" borderId="12" xfId="10" applyNumberFormat="1" applyFont="1" applyFill="1" applyBorder="1" applyAlignment="1" applyProtection="1">
      <alignment horizontal="center"/>
      <protection hidden="1"/>
    </xf>
    <xf numFmtId="3" fontId="50" fillId="33" borderId="10" xfId="10" applyNumberFormat="1" applyFont="1" applyFill="1" applyBorder="1" applyAlignment="1" applyProtection="1">
      <alignment horizontal="center"/>
      <protection hidden="1"/>
    </xf>
    <xf numFmtId="3" fontId="50" fillId="33" borderId="11" xfId="10" applyNumberFormat="1" applyFont="1" applyFill="1" applyBorder="1" applyAlignment="1" applyProtection="1">
      <alignment horizontal="center"/>
      <protection hidden="1"/>
    </xf>
    <xf numFmtId="169" fontId="47" fillId="0" borderId="33" xfId="13" applyNumberFormat="1" applyFont="1" applyFill="1" applyBorder="1" applyAlignment="1" applyProtection="1">
      <alignment horizontal="center"/>
    </xf>
    <xf numFmtId="10" fontId="50" fillId="33" borderId="6" xfId="37" applyNumberFormat="1" applyFont="1" applyFill="1" applyBorder="1" applyAlignment="1" applyProtection="1">
      <alignment horizontal="center"/>
      <protection hidden="1"/>
    </xf>
    <xf numFmtId="0" fontId="50" fillId="35" borderId="6" xfId="13" applyNumberFormat="1" applyFont="1" applyFill="1" applyBorder="1" applyProtection="1"/>
    <xf numFmtId="0" fontId="52" fillId="35" borderId="7" xfId="10" applyFont="1" applyFill="1" applyBorder="1" applyProtection="1"/>
    <xf numFmtId="3" fontId="47" fillId="35" borderId="8" xfId="13" applyNumberFormat="1" applyFont="1" applyFill="1" applyBorder="1" applyProtection="1"/>
    <xf numFmtId="0" fontId="50" fillId="35" borderId="1" xfId="13" applyNumberFormat="1" applyFont="1" applyFill="1" applyBorder="1" applyProtection="1"/>
    <xf numFmtId="0" fontId="52" fillId="35" borderId="0" xfId="10" applyFont="1" applyFill="1" applyBorder="1" applyProtection="1"/>
    <xf numFmtId="3" fontId="47" fillId="35" borderId="9" xfId="13" applyNumberFormat="1" applyFont="1" applyFill="1" applyBorder="1" applyProtection="1"/>
    <xf numFmtId="0" fontId="48" fillId="35" borderId="0" xfId="10" applyFont="1" applyFill="1" applyBorder="1" applyProtection="1"/>
    <xf numFmtId="0" fontId="48" fillId="35" borderId="0" xfId="10" applyNumberFormat="1" applyFont="1" applyFill="1" applyBorder="1" applyProtection="1"/>
    <xf numFmtId="0" fontId="50" fillId="35" borderId="22" xfId="13" applyNumberFormat="1" applyFont="1" applyFill="1" applyBorder="1" applyProtection="1"/>
    <xf numFmtId="0" fontId="48" fillId="35" borderId="0" xfId="13" applyNumberFormat="1" applyFont="1" applyFill="1" applyBorder="1" applyProtection="1"/>
    <xf numFmtId="0" fontId="70" fillId="35" borderId="6" xfId="13" applyNumberFormat="1" applyFont="1" applyFill="1" applyBorder="1" applyProtection="1"/>
    <xf numFmtId="0" fontId="48" fillId="35" borderId="2" xfId="13" applyNumberFormat="1" applyFont="1" applyFill="1" applyBorder="1" applyProtection="1"/>
    <xf numFmtId="16" fontId="50" fillId="35" borderId="19" xfId="13" applyNumberFormat="1" applyFont="1" applyFill="1" applyBorder="1" applyProtection="1"/>
    <xf numFmtId="0" fontId="47" fillId="35" borderId="20" xfId="13" applyFont="1" applyFill="1" applyBorder="1" applyProtection="1"/>
    <xf numFmtId="0" fontId="50" fillId="35" borderId="1" xfId="0" applyFont="1" applyFill="1" applyBorder="1" applyProtection="1">
      <protection locked="0"/>
    </xf>
    <xf numFmtId="0" fontId="55" fillId="0" borderId="0" xfId="13" applyFont="1" applyBorder="1" applyProtection="1">
      <protection locked="0"/>
    </xf>
    <xf numFmtId="0" fontId="54" fillId="39" borderId="157" xfId="0" applyFont="1" applyFill="1" applyBorder="1" applyProtection="1"/>
    <xf numFmtId="0" fontId="55" fillId="39" borderId="157" xfId="0" applyFont="1" applyFill="1" applyBorder="1" applyProtection="1"/>
    <xf numFmtId="0" fontId="50" fillId="0" borderId="0" xfId="40" applyFont="1" applyBorder="1" applyProtection="1">
      <protection locked="0"/>
    </xf>
    <xf numFmtId="3" fontId="50" fillId="0" borderId="0" xfId="40" applyNumberFormat="1" applyFont="1" applyFill="1" applyBorder="1" applyProtection="1">
      <protection locked="0"/>
    </xf>
    <xf numFmtId="0" fontId="50" fillId="0" borderId="0" xfId="40" applyFont="1" applyFill="1" applyBorder="1" applyProtection="1">
      <protection locked="0"/>
    </xf>
    <xf numFmtId="0" fontId="47" fillId="0" borderId="0" xfId="40" applyFont="1" applyFill="1" applyBorder="1" applyAlignment="1" applyProtection="1">
      <alignment vertical="center"/>
      <protection locked="0"/>
    </xf>
    <xf numFmtId="3" fontId="50" fillId="0" borderId="0" xfId="40" applyNumberFormat="1" applyFont="1" applyFill="1" applyBorder="1" applyAlignment="1" applyProtection="1">
      <protection locked="0"/>
    </xf>
    <xf numFmtId="3" fontId="51" fillId="0" borderId="0" xfId="40" applyNumberFormat="1" applyFont="1" applyFill="1" applyBorder="1" applyAlignment="1" applyProtection="1">
      <protection locked="0"/>
    </xf>
    <xf numFmtId="3" fontId="51" fillId="0" borderId="0" xfId="40" applyNumberFormat="1" applyFont="1" applyFill="1" applyBorder="1" applyProtection="1">
      <protection locked="0"/>
    </xf>
    <xf numFmtId="16" fontId="50" fillId="0" borderId="0" xfId="40" quotePrefix="1" applyNumberFormat="1" applyFont="1" applyBorder="1" applyProtection="1">
      <protection locked="0"/>
    </xf>
    <xf numFmtId="3" fontId="50" fillId="0" borderId="0" xfId="40" applyNumberFormat="1" applyFont="1" applyBorder="1" applyProtection="1">
      <protection locked="0"/>
    </xf>
    <xf numFmtId="0" fontId="51" fillId="0" borderId="0" xfId="40" applyFont="1" applyFill="1" applyBorder="1" applyProtection="1">
      <protection locked="0"/>
    </xf>
    <xf numFmtId="16" fontId="50" fillId="0" borderId="0" xfId="40" applyNumberFormat="1" applyFont="1" applyFill="1" applyBorder="1" applyProtection="1">
      <protection locked="0"/>
    </xf>
    <xf numFmtId="0" fontId="54" fillId="7" borderId="39" xfId="40" applyFont="1" applyFill="1" applyBorder="1" applyAlignment="1" applyProtection="1">
      <alignment horizontal="center"/>
    </xf>
    <xf numFmtId="0" fontId="46" fillId="7" borderId="28" xfId="40" applyFont="1" applyFill="1" applyBorder="1" applyAlignment="1" applyProtection="1">
      <alignment horizontal="left"/>
    </xf>
    <xf numFmtId="0" fontId="55" fillId="7" borderId="16" xfId="40" applyFont="1" applyFill="1" applyBorder="1" applyAlignment="1" applyProtection="1"/>
    <xf numFmtId="0" fontId="54" fillId="7" borderId="51" xfId="40" applyFont="1" applyFill="1" applyBorder="1" applyAlignment="1" applyProtection="1">
      <alignment horizontal="center"/>
    </xf>
    <xf numFmtId="0" fontId="52" fillId="7" borderId="20" xfId="40" applyFont="1" applyFill="1" applyBorder="1" applyAlignment="1" applyProtection="1">
      <alignment horizontal="left"/>
    </xf>
    <xf numFmtId="0" fontId="47" fillId="7" borderId="26" xfId="40" applyFont="1" applyFill="1" applyBorder="1" applyAlignment="1" applyProtection="1">
      <alignment horizontal="center"/>
    </xf>
    <xf numFmtId="16" fontId="70" fillId="0" borderId="0" xfId="40" quotePrefix="1" applyNumberFormat="1" applyFont="1" applyBorder="1" applyAlignment="1" applyProtection="1">
      <protection locked="0"/>
    </xf>
    <xf numFmtId="0" fontId="51" fillId="7" borderId="16" xfId="40" applyFont="1" applyFill="1" applyBorder="1" applyAlignment="1" applyProtection="1">
      <alignment horizontal="left"/>
    </xf>
    <xf numFmtId="0" fontId="51" fillId="7" borderId="11" xfId="40" applyFont="1" applyFill="1" applyBorder="1" applyProtection="1"/>
    <xf numFmtId="16" fontId="70" fillId="0" borderId="0" xfId="40" applyNumberFormat="1" applyFont="1" applyFill="1" applyBorder="1" applyProtection="1">
      <protection locked="0"/>
    </xf>
    <xf numFmtId="0" fontId="51" fillId="0" borderId="0" xfId="40" applyFont="1" applyFill="1" applyBorder="1" applyAlignment="1" applyProtection="1">
      <alignment horizontal="left"/>
      <protection locked="0"/>
    </xf>
    <xf numFmtId="0" fontId="47" fillId="0" borderId="0" xfId="40" applyFont="1" applyFill="1" applyBorder="1" applyProtection="1">
      <protection locked="0"/>
    </xf>
    <xf numFmtId="3" fontId="48" fillId="0" borderId="0" xfId="40" applyNumberFormat="1" applyFont="1" applyFill="1" applyBorder="1" applyProtection="1">
      <protection locked="0"/>
    </xf>
    <xf numFmtId="16" fontId="70" fillId="0" borderId="0" xfId="40" quotePrefix="1" applyNumberFormat="1" applyFont="1" applyBorder="1" applyProtection="1">
      <protection locked="0"/>
    </xf>
    <xf numFmtId="0" fontId="70" fillId="0" borderId="0" xfId="40" applyFont="1" applyBorder="1" applyProtection="1">
      <protection locked="0"/>
    </xf>
    <xf numFmtId="0" fontId="67" fillId="0" borderId="0" xfId="40" applyFont="1" applyBorder="1" applyProtection="1">
      <protection locked="0"/>
    </xf>
    <xf numFmtId="0" fontId="74" fillId="0" borderId="0" xfId="40" applyFont="1" applyBorder="1" applyProtection="1">
      <protection locked="0"/>
    </xf>
    <xf numFmtId="3" fontId="48" fillId="3" borderId="0" xfId="40" applyNumberFormat="1" applyFont="1" applyFill="1" applyBorder="1" applyAlignment="1" applyProtection="1">
      <protection locked="0"/>
    </xf>
    <xf numFmtId="3" fontId="48" fillId="3" borderId="0" xfId="40" applyNumberFormat="1" applyFont="1" applyFill="1" applyBorder="1" applyProtection="1">
      <protection locked="0"/>
    </xf>
    <xf numFmtId="0" fontId="54" fillId="40" borderId="39" xfId="40" applyFont="1" applyFill="1" applyBorder="1" applyAlignment="1" applyProtection="1">
      <alignment horizontal="center"/>
    </xf>
    <xf numFmtId="0" fontId="46" fillId="40" borderId="28" xfId="40" applyFont="1" applyFill="1" applyBorder="1" applyAlignment="1" applyProtection="1">
      <alignment horizontal="left"/>
    </xf>
    <xf numFmtId="0" fontId="55" fillId="40" borderId="16" xfId="40" applyFont="1" applyFill="1" applyBorder="1" applyAlignment="1" applyProtection="1"/>
    <xf numFmtId="0" fontId="54" fillId="40" borderId="51" xfId="40" applyFont="1" applyFill="1" applyBorder="1" applyAlignment="1" applyProtection="1">
      <alignment horizontal="center"/>
    </xf>
    <xf numFmtId="0" fontId="52" fillId="40" borderId="20" xfId="40" applyFont="1" applyFill="1" applyBorder="1" applyAlignment="1" applyProtection="1">
      <alignment horizontal="left"/>
    </xf>
    <xf numFmtId="0" fontId="47" fillId="40" borderId="26" xfId="40" applyFont="1" applyFill="1" applyBorder="1" applyAlignment="1" applyProtection="1">
      <alignment horizontal="center"/>
    </xf>
    <xf numFmtId="0" fontId="47" fillId="6" borderId="20" xfId="40" applyFont="1" applyFill="1" applyBorder="1" applyProtection="1"/>
    <xf numFmtId="3" fontId="47" fillId="6" borderId="26" xfId="40" applyNumberFormat="1" applyFont="1" applyFill="1" applyBorder="1" applyProtection="1"/>
    <xf numFmtId="16" fontId="70" fillId="38" borderId="19" xfId="40" applyNumberFormat="1" applyFont="1" applyFill="1" applyBorder="1" applyProtection="1"/>
    <xf numFmtId="0" fontId="47" fillId="38" borderId="20" xfId="40" applyFont="1" applyFill="1" applyBorder="1" applyProtection="1"/>
    <xf numFmtId="3" fontId="47" fillId="38" borderId="26" xfId="40" applyNumberFormat="1" applyFont="1" applyFill="1" applyBorder="1" applyProtection="1"/>
    <xf numFmtId="3" fontId="47" fillId="30" borderId="30" xfId="40" applyNumberFormat="1" applyFont="1" applyFill="1" applyBorder="1" applyProtection="1"/>
    <xf numFmtId="3" fontId="47" fillId="37" borderId="52" xfId="40" applyNumberFormat="1" applyFont="1" applyFill="1" applyBorder="1" applyProtection="1"/>
    <xf numFmtId="3" fontId="47" fillId="6" borderId="33" xfId="40" applyNumberFormat="1" applyFont="1" applyFill="1" applyBorder="1" applyProtection="1"/>
    <xf numFmtId="0" fontId="54" fillId="42" borderId="39" xfId="40" applyFont="1" applyFill="1" applyBorder="1" applyAlignment="1" applyProtection="1">
      <alignment horizontal="center"/>
    </xf>
    <xf numFmtId="0" fontId="46" fillId="42" borderId="28" xfId="40" applyFont="1" applyFill="1" applyBorder="1" applyAlignment="1" applyProtection="1">
      <alignment horizontal="left"/>
    </xf>
    <xf numFmtId="0" fontId="46" fillId="42" borderId="16" xfId="40" applyFont="1" applyFill="1" applyBorder="1" applyAlignment="1" applyProtection="1">
      <alignment horizontal="left"/>
    </xf>
    <xf numFmtId="0" fontId="54" fillId="42" borderId="51" xfId="40" applyFont="1" applyFill="1" applyBorder="1" applyAlignment="1" applyProtection="1">
      <alignment horizontal="center"/>
    </xf>
    <xf numFmtId="0" fontId="52" fillId="42" borderId="20" xfId="40" applyFont="1" applyFill="1" applyBorder="1" applyAlignment="1" applyProtection="1">
      <alignment horizontal="left"/>
    </xf>
    <xf numFmtId="0" fontId="47" fillId="42" borderId="26" xfId="40" applyFont="1" applyFill="1" applyBorder="1" applyAlignment="1" applyProtection="1">
      <alignment horizontal="center"/>
    </xf>
    <xf numFmtId="0" fontId="46" fillId="42" borderId="39" xfId="40" applyFont="1" applyFill="1" applyBorder="1" applyAlignment="1" applyProtection="1">
      <alignment horizontal="center"/>
    </xf>
    <xf numFmtId="0" fontId="51" fillId="42" borderId="11" xfId="40" applyFont="1" applyFill="1" applyBorder="1" applyProtection="1"/>
    <xf numFmtId="0" fontId="54" fillId="40" borderId="28" xfId="40" applyFont="1" applyFill="1" applyBorder="1" applyAlignment="1" applyProtection="1">
      <alignment horizontal="left"/>
    </xf>
    <xf numFmtId="0" fontId="51" fillId="40" borderId="16" xfId="40" applyFont="1" applyFill="1" applyBorder="1" applyAlignment="1" applyProtection="1">
      <alignment horizontal="left"/>
    </xf>
    <xf numFmtId="0" fontId="51" fillId="40" borderId="11" xfId="40" applyFont="1" applyFill="1" applyBorder="1" applyProtection="1"/>
    <xf numFmtId="16" fontId="70" fillId="6" borderId="19" xfId="40" applyNumberFormat="1" applyFont="1" applyFill="1" applyBorder="1" applyProtection="1"/>
    <xf numFmtId="3" fontId="47" fillId="6" borderId="19" xfId="40" applyNumberFormat="1" applyFont="1" applyFill="1" applyBorder="1" applyAlignment="1" applyProtection="1"/>
    <xf numFmtId="3" fontId="48" fillId="6" borderId="21" xfId="40" applyNumberFormat="1" applyFont="1" applyFill="1" applyBorder="1" applyProtection="1"/>
    <xf numFmtId="3" fontId="47" fillId="6" borderId="19" xfId="40" applyNumberFormat="1" applyFont="1" applyFill="1" applyBorder="1" applyProtection="1"/>
    <xf numFmtId="3" fontId="47" fillId="38" borderId="19" xfId="40" applyNumberFormat="1" applyFont="1" applyFill="1" applyBorder="1" applyAlignment="1" applyProtection="1"/>
    <xf numFmtId="16" fontId="50" fillId="38" borderId="19" xfId="40" applyNumberFormat="1" applyFont="1" applyFill="1" applyBorder="1" applyProtection="1"/>
    <xf numFmtId="3" fontId="48" fillId="38" borderId="21" xfId="40" applyNumberFormat="1" applyFont="1" applyFill="1" applyBorder="1" applyProtection="1"/>
    <xf numFmtId="3" fontId="47" fillId="38" borderId="19" xfId="40" applyNumberFormat="1" applyFont="1" applyFill="1" applyBorder="1" applyProtection="1"/>
    <xf numFmtId="0" fontId="50" fillId="35" borderId="1" xfId="40" applyNumberFormat="1" applyFont="1" applyFill="1" applyBorder="1" applyProtection="1"/>
    <xf numFmtId="0" fontId="48" fillId="35" borderId="0" xfId="40" applyNumberFormat="1" applyFont="1" applyFill="1" applyBorder="1" applyProtection="1"/>
    <xf numFmtId="16" fontId="50" fillId="35" borderId="1" xfId="40" quotePrefix="1" applyNumberFormat="1" applyFont="1" applyFill="1" applyBorder="1" applyProtection="1"/>
    <xf numFmtId="0" fontId="70" fillId="35" borderId="1" xfId="40" applyNumberFormat="1" applyFont="1" applyFill="1" applyBorder="1" applyProtection="1"/>
    <xf numFmtId="16" fontId="70" fillId="35" borderId="1" xfId="40" quotePrefix="1" applyNumberFormat="1" applyFont="1" applyFill="1" applyBorder="1" applyProtection="1"/>
    <xf numFmtId="2" fontId="73" fillId="35" borderId="1" xfId="40" applyNumberFormat="1" applyFont="1" applyFill="1" applyBorder="1" applyAlignment="1" applyProtection="1">
      <alignment horizontal="center"/>
    </xf>
    <xf numFmtId="2" fontId="73" fillId="35" borderId="1" xfId="40" quotePrefix="1" applyNumberFormat="1" applyFont="1" applyFill="1" applyBorder="1" applyAlignment="1" applyProtection="1">
      <alignment horizontal="center"/>
    </xf>
    <xf numFmtId="0" fontId="47" fillId="40" borderId="21" xfId="40" applyFont="1" applyFill="1" applyBorder="1" applyAlignment="1" applyProtection="1">
      <alignment horizontal="center"/>
    </xf>
    <xf numFmtId="3" fontId="47" fillId="35" borderId="8" xfId="40" applyNumberFormat="1" applyFont="1" applyFill="1" applyBorder="1" applyProtection="1"/>
    <xf numFmtId="3" fontId="47" fillId="35" borderId="9" xfId="40" applyNumberFormat="1" applyFont="1" applyFill="1" applyBorder="1" applyProtection="1"/>
    <xf numFmtId="0" fontId="48" fillId="35" borderId="8" xfId="40" applyNumberFormat="1" applyFont="1" applyFill="1" applyBorder="1" applyProtection="1"/>
    <xf numFmtId="3" fontId="48" fillId="35" borderId="9" xfId="40" applyNumberFormat="1" applyFont="1" applyFill="1" applyBorder="1" applyProtection="1"/>
    <xf numFmtId="3" fontId="47" fillId="33" borderId="24" xfId="40" applyNumberFormat="1" applyFont="1" applyFill="1" applyBorder="1" applyProtection="1"/>
    <xf numFmtId="3" fontId="47" fillId="33" borderId="25" xfId="40" applyNumberFormat="1" applyFont="1" applyFill="1" applyBorder="1" applyProtection="1"/>
    <xf numFmtId="3" fontId="48" fillId="33" borderId="6" xfId="40" applyNumberFormat="1" applyFont="1" applyFill="1" applyBorder="1" applyProtection="1"/>
    <xf numFmtId="3" fontId="48" fillId="33" borderId="7" xfId="40" applyNumberFormat="1" applyFont="1" applyFill="1" applyBorder="1" applyProtection="1"/>
    <xf numFmtId="3" fontId="48" fillId="33" borderId="8" xfId="40" applyNumberFormat="1" applyFont="1" applyFill="1" applyBorder="1" applyProtection="1"/>
    <xf numFmtId="3" fontId="48" fillId="33" borderId="1" xfId="40" applyNumberFormat="1" applyFont="1" applyFill="1" applyBorder="1" applyProtection="1"/>
    <xf numFmtId="3" fontId="48" fillId="33" borderId="0" xfId="40" applyNumberFormat="1" applyFont="1" applyFill="1" applyBorder="1" applyProtection="1"/>
    <xf numFmtId="3" fontId="48" fillId="33" borderId="9" xfId="40" applyNumberFormat="1" applyFont="1" applyFill="1" applyBorder="1" applyProtection="1"/>
    <xf numFmtId="0" fontId="48" fillId="33" borderId="15" xfId="0" applyFont="1" applyFill="1" applyBorder="1" applyProtection="1"/>
    <xf numFmtId="0" fontId="47" fillId="33" borderId="28" xfId="0" applyFont="1" applyFill="1" applyBorder="1" applyProtection="1"/>
    <xf numFmtId="0" fontId="48" fillId="33" borderId="29" xfId="0" applyFont="1" applyFill="1" applyBorder="1" applyProtection="1"/>
    <xf numFmtId="0" fontId="47" fillId="33" borderId="27" xfId="0" applyFont="1" applyFill="1" applyBorder="1" applyProtection="1"/>
    <xf numFmtId="0" fontId="48" fillId="33" borderId="12" xfId="0" applyFont="1" applyFill="1" applyBorder="1" applyProtection="1"/>
    <xf numFmtId="0" fontId="47" fillId="33" borderId="10" xfId="0" applyFont="1" applyFill="1" applyBorder="1" applyProtection="1"/>
    <xf numFmtId="0" fontId="48" fillId="33" borderId="15" xfId="40" applyFont="1" applyFill="1" applyBorder="1" applyProtection="1"/>
    <xf numFmtId="0" fontId="47" fillId="33" borderId="28" xfId="40" applyFont="1" applyFill="1" applyBorder="1" applyProtection="1"/>
    <xf numFmtId="0" fontId="48" fillId="33" borderId="29" xfId="40" applyFont="1" applyFill="1" applyBorder="1" applyProtection="1"/>
    <xf numFmtId="0" fontId="47" fillId="33" borderId="27" xfId="40" applyFont="1" applyFill="1" applyBorder="1" applyProtection="1"/>
    <xf numFmtId="0" fontId="48" fillId="33" borderId="12" xfId="40" applyFont="1" applyFill="1" applyBorder="1" applyProtection="1"/>
    <xf numFmtId="0" fontId="47" fillId="33" borderId="10" xfId="40" applyFont="1" applyFill="1" applyBorder="1" applyProtection="1"/>
    <xf numFmtId="0" fontId="48" fillId="33" borderId="88" xfId="0" applyFont="1" applyFill="1" applyBorder="1" applyProtection="1"/>
    <xf numFmtId="0" fontId="47" fillId="33" borderId="89" xfId="0" applyFont="1" applyFill="1" applyBorder="1" applyProtection="1"/>
    <xf numFmtId="0" fontId="48" fillId="33" borderId="101" xfId="0" applyFont="1" applyFill="1" applyBorder="1" applyProtection="1"/>
    <xf numFmtId="0" fontId="47" fillId="33" borderId="94" xfId="0" applyFont="1" applyFill="1" applyBorder="1" applyProtection="1"/>
    <xf numFmtId="0" fontId="48" fillId="33" borderId="103" xfId="0" applyFont="1" applyFill="1" applyBorder="1" applyProtection="1"/>
    <xf numFmtId="0" fontId="47" fillId="33" borderId="96" xfId="0" applyFont="1" applyFill="1" applyBorder="1" applyProtection="1"/>
    <xf numFmtId="0" fontId="50" fillId="0" borderId="0" xfId="9" applyFont="1" applyFill="1" applyBorder="1"/>
    <xf numFmtId="0" fontId="50" fillId="0" borderId="0" xfId="9" applyFont="1" applyFill="1" applyBorder="1" applyProtection="1">
      <protection hidden="1"/>
    </xf>
    <xf numFmtId="9" fontId="50" fillId="0" borderId="0" xfId="36" applyFont="1" applyFill="1" applyBorder="1" applyProtection="1">
      <protection hidden="1"/>
    </xf>
    <xf numFmtId="169" fontId="50" fillId="0" borderId="0" xfId="9" applyNumberFormat="1" applyFont="1" applyFill="1" applyBorder="1" applyProtection="1">
      <protection hidden="1"/>
    </xf>
    <xf numFmtId="0" fontId="50" fillId="0" borderId="0" xfId="333" applyFont="1" applyFill="1" applyBorder="1"/>
    <xf numFmtId="0" fontId="50" fillId="0" borderId="0" xfId="333" applyFont="1" applyFill="1" applyBorder="1" applyProtection="1">
      <protection hidden="1"/>
    </xf>
    <xf numFmtId="3" fontId="50" fillId="0" borderId="0" xfId="333" applyNumberFormat="1" applyFont="1" applyFill="1" applyBorder="1" applyProtection="1">
      <protection hidden="1"/>
    </xf>
    <xf numFmtId="3" fontId="50" fillId="0" borderId="0" xfId="333" applyNumberFormat="1" applyFont="1" applyFill="1" applyBorder="1" applyAlignment="1" applyProtection="1">
      <protection locked="0"/>
    </xf>
    <xf numFmtId="3" fontId="51" fillId="0" borderId="0" xfId="333" applyNumberFormat="1" applyFont="1" applyFill="1" applyBorder="1" applyProtection="1">
      <protection hidden="1"/>
    </xf>
    <xf numFmtId="16" fontId="50" fillId="0" borderId="0" xfId="333" quotePrefix="1" applyNumberFormat="1" applyFont="1" applyFill="1" applyBorder="1" applyProtection="1">
      <protection hidden="1"/>
    </xf>
    <xf numFmtId="3" fontId="50" fillId="0" borderId="0" xfId="333" applyNumberFormat="1" applyFont="1" applyFill="1" applyBorder="1" applyProtection="1">
      <protection locked="0"/>
    </xf>
    <xf numFmtId="0" fontId="51" fillId="0" borderId="0" xfId="333" applyFont="1" applyFill="1" applyBorder="1" applyProtection="1">
      <protection hidden="1"/>
    </xf>
    <xf numFmtId="16" fontId="50" fillId="0" borderId="0" xfId="333" applyNumberFormat="1" applyFont="1" applyFill="1" applyBorder="1" applyProtection="1">
      <protection hidden="1"/>
    </xf>
    <xf numFmtId="3" fontId="51" fillId="0" borderId="0" xfId="333" applyNumberFormat="1" applyFont="1" applyFill="1" applyBorder="1" applyAlignment="1" applyProtection="1">
      <protection locked="0"/>
    </xf>
    <xf numFmtId="16" fontId="50" fillId="0" borderId="0" xfId="333" quotePrefix="1" applyNumberFormat="1" applyFont="1" applyFill="1" applyBorder="1" applyAlignment="1" applyProtection="1">
      <protection hidden="1"/>
    </xf>
    <xf numFmtId="0" fontId="51" fillId="0" borderId="0" xfId="333" applyFont="1" applyFill="1" applyBorder="1" applyAlignment="1" applyProtection="1">
      <alignment horizontal="left"/>
      <protection hidden="1"/>
    </xf>
    <xf numFmtId="0" fontId="67" fillId="0" borderId="0" xfId="333" applyFont="1" applyFill="1" applyBorder="1"/>
    <xf numFmtId="0" fontId="46" fillId="40" borderId="39" xfId="333" applyFont="1" applyFill="1" applyBorder="1" applyAlignment="1" applyProtection="1">
      <alignment horizontal="center"/>
    </xf>
    <xf numFmtId="0" fontId="46" fillId="40" borderId="15" xfId="333" applyFont="1" applyFill="1" applyBorder="1" applyAlignment="1" applyProtection="1">
      <alignment horizontal="left"/>
    </xf>
    <xf numFmtId="0" fontId="55" fillId="40" borderId="16" xfId="333" applyFont="1" applyFill="1" applyBorder="1" applyAlignment="1" applyProtection="1">
      <alignment horizontal="center"/>
    </xf>
    <xf numFmtId="0" fontId="54" fillId="40" borderId="161" xfId="333" applyFont="1" applyFill="1" applyBorder="1" applyAlignment="1" applyProtection="1">
      <alignment horizontal="center"/>
    </xf>
    <xf numFmtId="0" fontId="52" fillId="40" borderId="19" xfId="333" applyFont="1" applyFill="1" applyBorder="1" applyAlignment="1" applyProtection="1">
      <alignment horizontal="left"/>
    </xf>
    <xf numFmtId="0" fontId="47" fillId="40" borderId="21" xfId="333" applyFont="1" applyFill="1" applyBorder="1" applyAlignment="1" applyProtection="1">
      <alignment horizontal="center"/>
    </xf>
    <xf numFmtId="0" fontId="48" fillId="35" borderId="6" xfId="333" applyNumberFormat="1" applyFont="1" applyFill="1" applyBorder="1" applyAlignment="1" applyProtection="1">
      <alignment vertical="center"/>
    </xf>
    <xf numFmtId="0" fontId="48" fillId="35" borderId="7" xfId="333" applyFont="1" applyFill="1" applyBorder="1" applyProtection="1"/>
    <xf numFmtId="3" fontId="47" fillId="33" borderId="24" xfId="333" applyNumberFormat="1" applyFont="1" applyFill="1" applyBorder="1" applyProtection="1"/>
    <xf numFmtId="9" fontId="48" fillId="35" borderId="1" xfId="333" applyNumberFormat="1" applyFont="1" applyFill="1" applyBorder="1" applyAlignment="1" applyProtection="1">
      <alignment vertical="center"/>
    </xf>
    <xf numFmtId="0" fontId="48" fillId="35" borderId="0" xfId="333" applyFont="1" applyFill="1" applyBorder="1" applyProtection="1"/>
    <xf numFmtId="3" fontId="47" fillId="33" borderId="25" xfId="333" applyNumberFormat="1" applyFont="1" applyFill="1" applyBorder="1" applyProtection="1"/>
    <xf numFmtId="9" fontId="48" fillId="35" borderId="162" xfId="333" applyNumberFormat="1" applyFont="1" applyFill="1" applyBorder="1" applyAlignment="1" applyProtection="1">
      <alignment vertical="center"/>
    </xf>
    <xf numFmtId="0" fontId="48" fillId="35" borderId="163" xfId="333" applyFont="1" applyFill="1" applyBorder="1" applyProtection="1"/>
    <xf numFmtId="3" fontId="47" fillId="33" borderId="169" xfId="333" applyNumberFormat="1" applyFont="1" applyFill="1" applyBorder="1" applyProtection="1"/>
    <xf numFmtId="16" fontId="48" fillId="35" borderId="164" xfId="333" quotePrefix="1" applyNumberFormat="1" applyFont="1" applyFill="1" applyBorder="1" applyAlignment="1" applyProtection="1">
      <alignment vertical="center"/>
    </xf>
    <xf numFmtId="0" fontId="48" fillId="35" borderId="165" xfId="333" applyFont="1" applyFill="1" applyBorder="1" applyProtection="1"/>
    <xf numFmtId="3" fontId="47" fillId="33" borderId="170" xfId="333" applyNumberFormat="1" applyFont="1" applyFill="1" applyBorder="1" applyProtection="1"/>
    <xf numFmtId="16" fontId="50" fillId="6" borderId="160" xfId="333" applyNumberFormat="1" applyFont="1" applyFill="1" applyBorder="1" applyProtection="1"/>
    <xf numFmtId="0" fontId="47" fillId="6" borderId="158" xfId="333" applyFont="1" applyFill="1" applyBorder="1" applyProtection="1"/>
    <xf numFmtId="3" fontId="47" fillId="6" borderId="171" xfId="333" applyNumberFormat="1" applyFont="1" applyFill="1" applyBorder="1" applyProtection="1"/>
    <xf numFmtId="0" fontId="51" fillId="40" borderId="16" xfId="333" applyFont="1" applyFill="1" applyBorder="1" applyAlignment="1" applyProtection="1">
      <alignment horizontal="center"/>
    </xf>
    <xf numFmtId="0" fontId="51" fillId="40" borderId="168" xfId="333" applyFont="1" applyFill="1" applyBorder="1" applyProtection="1"/>
    <xf numFmtId="9" fontId="75" fillId="35" borderId="9" xfId="333" applyNumberFormat="1" applyFont="1" applyFill="1" applyBorder="1" applyAlignment="1" applyProtection="1">
      <alignment horizontal="center"/>
    </xf>
    <xf numFmtId="0" fontId="48" fillId="35" borderId="1" xfId="333" applyNumberFormat="1" applyFont="1" applyFill="1" applyBorder="1" applyAlignment="1" applyProtection="1">
      <alignment vertical="center"/>
    </xf>
    <xf numFmtId="10" fontId="75" fillId="35" borderId="9" xfId="36" applyNumberFormat="1" applyFont="1" applyFill="1" applyBorder="1" applyAlignment="1" applyProtection="1">
      <alignment horizontal="center"/>
    </xf>
    <xf numFmtId="16" fontId="48" fillId="35" borderId="164" xfId="333" applyNumberFormat="1" applyFont="1" applyFill="1" applyBorder="1" applyAlignment="1" applyProtection="1">
      <alignment vertical="center"/>
    </xf>
    <xf numFmtId="16" fontId="48" fillId="35" borderId="1" xfId="333" applyNumberFormat="1" applyFont="1" applyFill="1" applyBorder="1" applyAlignment="1" applyProtection="1">
      <alignment vertical="center"/>
    </xf>
    <xf numFmtId="3" fontId="48" fillId="35" borderId="9" xfId="333" applyNumberFormat="1" applyFont="1" applyFill="1" applyBorder="1" applyProtection="1"/>
    <xf numFmtId="16" fontId="48" fillId="35" borderId="1" xfId="333" quotePrefix="1" applyNumberFormat="1" applyFont="1" applyFill="1" applyBorder="1" applyAlignment="1" applyProtection="1">
      <alignment vertical="center"/>
    </xf>
    <xf numFmtId="16" fontId="50" fillId="6" borderId="19" xfId="333" applyNumberFormat="1" applyFont="1" applyFill="1" applyBorder="1" applyProtection="1"/>
    <xf numFmtId="0" fontId="47" fillId="6" borderId="167" xfId="333" applyFont="1" applyFill="1" applyBorder="1" applyProtection="1"/>
    <xf numFmtId="3" fontId="48" fillId="6" borderId="168" xfId="333" applyNumberFormat="1" applyFont="1" applyFill="1" applyBorder="1" applyProtection="1"/>
    <xf numFmtId="0" fontId="46" fillId="7" borderId="39" xfId="333" applyFont="1" applyFill="1" applyBorder="1" applyAlignment="1" applyProtection="1">
      <alignment horizontal="center"/>
    </xf>
    <xf numFmtId="0" fontId="46" fillId="7" borderId="15" xfId="333" applyFont="1" applyFill="1" applyBorder="1" applyAlignment="1" applyProtection="1">
      <alignment horizontal="left"/>
    </xf>
    <xf numFmtId="0" fontId="55" fillId="7" borderId="16" xfId="333" applyFont="1" applyFill="1" applyBorder="1" applyAlignment="1" applyProtection="1">
      <alignment horizontal="center"/>
    </xf>
    <xf numFmtId="0" fontId="54" fillId="7" borderId="161" xfId="333" applyFont="1" applyFill="1" applyBorder="1" applyAlignment="1" applyProtection="1">
      <alignment horizontal="center"/>
    </xf>
    <xf numFmtId="0" fontId="52" fillId="7" borderId="44" xfId="333" applyFont="1" applyFill="1" applyBorder="1" applyAlignment="1" applyProtection="1">
      <alignment horizontal="left"/>
    </xf>
    <xf numFmtId="0" fontId="47" fillId="7" borderId="26" xfId="333" applyFont="1" applyFill="1" applyBorder="1" applyAlignment="1" applyProtection="1">
      <alignment horizontal="center"/>
    </xf>
    <xf numFmtId="16" fontId="50" fillId="37" borderId="160" xfId="333" applyNumberFormat="1" applyFont="1" applyFill="1" applyBorder="1" applyProtection="1"/>
    <xf numFmtId="0" fontId="47" fillId="37" borderId="158" xfId="333" applyFont="1" applyFill="1" applyBorder="1" applyProtection="1"/>
    <xf numFmtId="3" fontId="47" fillId="37" borderId="171" xfId="333" applyNumberFormat="1" applyFont="1" applyFill="1" applyBorder="1" applyProtection="1"/>
    <xf numFmtId="0" fontId="51" fillId="7" borderId="16" xfId="333" applyFont="1" applyFill="1" applyBorder="1" applyAlignment="1" applyProtection="1">
      <alignment horizontal="center"/>
    </xf>
    <xf numFmtId="0" fontId="52" fillId="7" borderId="19" xfId="333" applyFont="1" applyFill="1" applyBorder="1" applyAlignment="1" applyProtection="1">
      <alignment horizontal="left"/>
    </xf>
    <xf numFmtId="0" fontId="51" fillId="7" borderId="168" xfId="333" applyFont="1" applyFill="1" applyBorder="1" applyProtection="1"/>
    <xf numFmtId="16" fontId="50" fillId="37" borderId="19" xfId="333" applyNumberFormat="1" applyFont="1" applyFill="1" applyBorder="1" applyProtection="1"/>
    <xf numFmtId="0" fontId="47" fillId="37" borderId="167" xfId="333" applyFont="1" applyFill="1" applyBorder="1" applyProtection="1"/>
    <xf numFmtId="3" fontId="48" fillId="37" borderId="167" xfId="333" applyNumberFormat="1" applyFont="1" applyFill="1" applyBorder="1" applyProtection="1"/>
    <xf numFmtId="0" fontId="46" fillId="42" borderId="39" xfId="333" applyFont="1" applyFill="1" applyBorder="1" applyAlignment="1" applyProtection="1">
      <alignment horizontal="center"/>
    </xf>
    <xf numFmtId="0" fontId="46" fillId="42" borderId="15" xfId="333" applyFont="1" applyFill="1" applyBorder="1" applyAlignment="1" applyProtection="1">
      <alignment horizontal="left"/>
    </xf>
    <xf numFmtId="0" fontId="46" fillId="42" borderId="16" xfId="333" applyFont="1" applyFill="1" applyBorder="1" applyAlignment="1" applyProtection="1">
      <alignment horizontal="left"/>
    </xf>
    <xf numFmtId="0" fontId="54" fillId="42" borderId="161" xfId="333" applyFont="1" applyFill="1" applyBorder="1" applyAlignment="1" applyProtection="1">
      <alignment horizontal="center"/>
    </xf>
    <xf numFmtId="0" fontId="52" fillId="42" borderId="44" xfId="333" applyFont="1" applyFill="1" applyBorder="1" applyAlignment="1" applyProtection="1">
      <alignment horizontal="left"/>
    </xf>
    <xf numFmtId="0" fontId="47" fillId="42" borderId="26" xfId="333" applyFont="1" applyFill="1" applyBorder="1" applyAlignment="1" applyProtection="1">
      <alignment horizontal="center"/>
    </xf>
    <xf numFmtId="0" fontId="48" fillId="35" borderId="1" xfId="333" applyNumberFormat="1" applyFont="1" applyFill="1" applyBorder="1" applyAlignment="1" applyProtection="1">
      <alignment horizontal="center" vertical="center"/>
    </xf>
    <xf numFmtId="16" fontId="50" fillId="30" borderId="19" xfId="333" applyNumberFormat="1" applyFont="1" applyFill="1" applyBorder="1" applyProtection="1"/>
    <xf numFmtId="0" fontId="47" fillId="30" borderId="167" xfId="333" applyFont="1" applyFill="1" applyBorder="1" applyProtection="1"/>
    <xf numFmtId="3" fontId="47" fillId="30" borderId="26" xfId="333" applyNumberFormat="1" applyFont="1" applyFill="1" applyBorder="1" applyProtection="1"/>
    <xf numFmtId="0" fontId="52" fillId="42" borderId="19" xfId="333" applyFont="1" applyFill="1" applyBorder="1" applyAlignment="1" applyProtection="1">
      <alignment horizontal="left"/>
    </xf>
    <xf numFmtId="0" fontId="51" fillId="42" borderId="168" xfId="333" applyFont="1" applyFill="1" applyBorder="1" applyProtection="1"/>
    <xf numFmtId="0" fontId="48" fillId="35" borderId="6" xfId="333" applyNumberFormat="1" applyFont="1" applyFill="1" applyBorder="1" applyAlignment="1" applyProtection="1">
      <alignment horizontal="center" vertical="center"/>
    </xf>
    <xf numFmtId="3" fontId="48" fillId="35" borderId="8" xfId="333" applyNumberFormat="1" applyFont="1" applyFill="1" applyBorder="1" applyProtection="1"/>
    <xf numFmtId="3" fontId="48" fillId="30" borderId="168" xfId="333" applyNumberFormat="1" applyFont="1" applyFill="1" applyBorder="1" applyProtection="1"/>
    <xf numFmtId="0" fontId="53" fillId="0" borderId="13" xfId="333" applyNumberFormat="1" applyFont="1" applyFill="1" applyBorder="1" applyAlignment="1" applyProtection="1">
      <alignment vertical="center"/>
    </xf>
    <xf numFmtId="0" fontId="53" fillId="0" borderId="17" xfId="333" applyNumberFormat="1" applyFont="1" applyFill="1" applyBorder="1" applyAlignment="1" applyProtection="1">
      <alignment vertical="center"/>
    </xf>
    <xf numFmtId="0" fontId="50" fillId="0" borderId="17" xfId="9" applyFont="1" applyFill="1" applyBorder="1" applyProtection="1"/>
    <xf numFmtId="0" fontId="50" fillId="0" borderId="18" xfId="9" applyFont="1" applyFill="1" applyBorder="1" applyProtection="1"/>
    <xf numFmtId="3" fontId="69" fillId="0" borderId="0" xfId="333" applyNumberFormat="1" applyFont="1" applyFill="1" applyBorder="1" applyProtection="1">
      <protection locked="0"/>
    </xf>
    <xf numFmtId="3" fontId="69" fillId="0" borderId="0" xfId="333" applyNumberFormat="1" applyFont="1" applyFill="1" applyBorder="1" applyAlignment="1" applyProtection="1">
      <protection locked="0"/>
    </xf>
    <xf numFmtId="0" fontId="50" fillId="0" borderId="0" xfId="333" applyFont="1" applyFill="1" applyBorder="1" applyProtection="1">
      <protection locked="0"/>
    </xf>
    <xf numFmtId="0" fontId="50" fillId="0" borderId="0" xfId="333" applyFont="1" applyBorder="1" applyProtection="1">
      <protection locked="0"/>
    </xf>
    <xf numFmtId="0" fontId="46" fillId="3" borderId="28" xfId="333" applyFont="1" applyFill="1" applyBorder="1" applyAlignment="1" applyProtection="1">
      <alignment horizontal="left"/>
      <protection locked="0"/>
    </xf>
    <xf numFmtId="0" fontId="47" fillId="0" borderId="0" xfId="333" applyFont="1" applyFill="1" applyBorder="1" applyAlignment="1" applyProtection="1">
      <alignment vertical="center"/>
      <protection locked="0"/>
    </xf>
    <xf numFmtId="0" fontId="52" fillId="3" borderId="0" xfId="333" applyFont="1" applyFill="1" applyBorder="1" applyAlignment="1" applyProtection="1">
      <alignment horizontal="left"/>
      <protection locked="0"/>
    </xf>
    <xf numFmtId="16" fontId="50" fillId="0" borderId="0" xfId="333" quotePrefix="1" applyNumberFormat="1" applyFont="1" applyBorder="1" applyProtection="1">
      <protection locked="0"/>
    </xf>
    <xf numFmtId="4" fontId="50" fillId="0" borderId="0" xfId="333" applyNumberFormat="1" applyFont="1" applyFill="1" applyBorder="1" applyProtection="1">
      <protection locked="0"/>
    </xf>
    <xf numFmtId="3" fontId="50" fillId="0" borderId="0" xfId="333" applyNumberFormat="1" applyFont="1" applyBorder="1" applyProtection="1">
      <protection locked="0"/>
    </xf>
    <xf numFmtId="49" fontId="46" fillId="3" borderId="15" xfId="333" applyNumberFormat="1" applyFont="1" applyFill="1" applyBorder="1" applyAlignment="1" applyProtection="1">
      <alignment horizontal="left"/>
      <protection locked="0"/>
    </xf>
    <xf numFmtId="0" fontId="51" fillId="0" borderId="0" xfId="333" applyFont="1" applyFill="1" applyBorder="1" applyProtection="1">
      <protection locked="0"/>
    </xf>
    <xf numFmtId="16" fontId="50" fillId="0" borderId="0" xfId="333" applyNumberFormat="1" applyFont="1" applyFill="1" applyBorder="1" applyProtection="1">
      <protection locked="0"/>
    </xf>
    <xf numFmtId="0" fontId="47" fillId="0" borderId="0" xfId="333" applyFont="1" applyFill="1" applyBorder="1" applyProtection="1">
      <protection locked="0"/>
    </xf>
    <xf numFmtId="3" fontId="48" fillId="0" borderId="0" xfId="333" applyNumberFormat="1" applyFont="1" applyFill="1" applyBorder="1" applyProtection="1">
      <protection locked="0"/>
    </xf>
    <xf numFmtId="3" fontId="51" fillId="0" borderId="0" xfId="333" applyNumberFormat="1" applyFont="1" applyFill="1" applyBorder="1" applyProtection="1">
      <protection locked="0"/>
    </xf>
    <xf numFmtId="0" fontId="51" fillId="0" borderId="0" xfId="333" applyFont="1" applyFill="1" applyBorder="1" applyAlignment="1" applyProtection="1">
      <alignment horizontal="left"/>
      <protection locked="0"/>
    </xf>
    <xf numFmtId="16" fontId="51" fillId="0" borderId="0" xfId="333" quotePrefix="1" applyNumberFormat="1" applyFont="1" applyFill="1" applyBorder="1" applyProtection="1">
      <protection locked="0"/>
    </xf>
    <xf numFmtId="3" fontId="51" fillId="0" borderId="0" xfId="333" applyNumberFormat="1" applyFont="1" applyBorder="1" applyProtection="1">
      <protection locked="0"/>
    </xf>
    <xf numFmtId="4" fontId="50" fillId="0" borderId="0" xfId="333" applyNumberFormat="1" applyFont="1" applyBorder="1" applyProtection="1">
      <protection locked="0"/>
    </xf>
    <xf numFmtId="0" fontId="48" fillId="0" borderId="0" xfId="333" applyFont="1" applyFill="1" applyBorder="1" applyProtection="1">
      <protection locked="0"/>
    </xf>
    <xf numFmtId="3" fontId="47" fillId="0" borderId="0" xfId="333" applyNumberFormat="1" applyFont="1" applyFill="1" applyBorder="1" applyProtection="1">
      <protection locked="0"/>
    </xf>
    <xf numFmtId="3" fontId="51" fillId="0" borderId="0" xfId="333" applyNumberFormat="1" applyFont="1" applyFill="1" applyBorder="1" applyAlignment="1" applyProtection="1">
      <alignment horizontal="right"/>
      <protection locked="0"/>
    </xf>
    <xf numFmtId="0" fontId="51" fillId="0" borderId="0" xfId="333" applyFont="1" applyBorder="1" applyAlignment="1" applyProtection="1">
      <alignment horizontal="right"/>
      <protection locked="0"/>
    </xf>
    <xf numFmtId="0" fontId="50" fillId="0" borderId="0" xfId="333" applyFont="1" applyFill="1" applyProtection="1">
      <protection locked="0"/>
    </xf>
    <xf numFmtId="0" fontId="48" fillId="0" borderId="13" xfId="333" applyFont="1" applyBorder="1" applyProtection="1"/>
    <xf numFmtId="0" fontId="47" fillId="0" borderId="17" xfId="333" applyFont="1" applyFill="1" applyBorder="1" applyProtection="1"/>
    <xf numFmtId="3" fontId="48" fillId="3" borderId="0" xfId="333" applyNumberFormat="1" applyFont="1" applyFill="1" applyBorder="1" applyAlignment="1" applyProtection="1">
      <protection locked="0"/>
    </xf>
    <xf numFmtId="3" fontId="48" fillId="3" borderId="7" xfId="333" applyNumberFormat="1" applyFont="1" applyFill="1" applyBorder="1" applyProtection="1">
      <protection locked="0"/>
    </xf>
    <xf numFmtId="3" fontId="48" fillId="3" borderId="0" xfId="333" applyNumberFormat="1" applyFont="1" applyFill="1" applyBorder="1" applyProtection="1">
      <protection locked="0"/>
    </xf>
    <xf numFmtId="0" fontId="54" fillId="40" borderId="51" xfId="333" applyFont="1" applyFill="1" applyBorder="1" applyAlignment="1" applyProtection="1">
      <alignment horizontal="center"/>
    </xf>
    <xf numFmtId="0" fontId="46" fillId="40" borderId="16" xfId="333" applyFont="1" applyFill="1" applyBorder="1" applyAlignment="1" applyProtection="1">
      <alignment horizontal="left"/>
    </xf>
    <xf numFmtId="0" fontId="47" fillId="40" borderId="26" xfId="333" applyFont="1" applyFill="1" applyBorder="1" applyAlignment="1" applyProtection="1">
      <alignment horizontal="center"/>
    </xf>
    <xf numFmtId="0" fontId="51" fillId="40" borderId="11" xfId="333" applyFont="1" applyFill="1" applyBorder="1" applyProtection="1"/>
    <xf numFmtId="0" fontId="54" fillId="40" borderId="53" xfId="333" applyFont="1" applyFill="1" applyBorder="1" applyAlignment="1" applyProtection="1">
      <alignment horizontal="center"/>
    </xf>
    <xf numFmtId="0" fontId="54" fillId="42" borderId="51" xfId="333" applyFont="1" applyFill="1" applyBorder="1" applyAlignment="1" applyProtection="1">
      <alignment horizontal="center"/>
    </xf>
    <xf numFmtId="0" fontId="52" fillId="42" borderId="20" xfId="333" applyFont="1" applyFill="1" applyBorder="1" applyAlignment="1" applyProtection="1">
      <alignment horizontal="left"/>
    </xf>
    <xf numFmtId="0" fontId="54" fillId="42" borderId="53" xfId="333" applyFont="1" applyFill="1" applyBorder="1" applyAlignment="1" applyProtection="1">
      <alignment horizontal="center"/>
    </xf>
    <xf numFmtId="0" fontId="52" fillId="42" borderId="4" xfId="333" applyFont="1" applyFill="1" applyBorder="1" applyAlignment="1" applyProtection="1">
      <alignment horizontal="left"/>
    </xf>
    <xf numFmtId="0" fontId="51" fillId="42" borderId="9" xfId="333" applyFont="1" applyFill="1" applyBorder="1" applyProtection="1"/>
    <xf numFmtId="3" fontId="47" fillId="42" borderId="31" xfId="333" applyNumberFormat="1" applyFont="1" applyFill="1" applyBorder="1" applyProtection="1"/>
    <xf numFmtId="0" fontId="52" fillId="35" borderId="1" xfId="333" applyFont="1" applyFill="1" applyBorder="1" applyAlignment="1" applyProtection="1">
      <alignment horizontal="left"/>
    </xf>
    <xf numFmtId="0" fontId="52" fillId="35" borderId="22" xfId="333" applyFont="1" applyFill="1" applyBorder="1" applyAlignment="1" applyProtection="1">
      <alignment horizontal="left"/>
    </xf>
    <xf numFmtId="0" fontId="52" fillId="35" borderId="6" xfId="333" applyFont="1" applyFill="1" applyBorder="1" applyAlignment="1" applyProtection="1">
      <alignment horizontal="left"/>
    </xf>
    <xf numFmtId="0" fontId="52" fillId="35" borderId="0" xfId="333" applyFont="1" applyFill="1" applyBorder="1" applyAlignment="1" applyProtection="1">
      <alignment horizontal="left"/>
    </xf>
    <xf numFmtId="0" fontId="52" fillId="35" borderId="2" xfId="333" applyFont="1" applyFill="1" applyBorder="1" applyAlignment="1" applyProtection="1">
      <alignment horizontal="left"/>
    </xf>
    <xf numFmtId="0" fontId="52" fillId="35" borderId="7" xfId="333" applyFont="1" applyFill="1" applyBorder="1" applyAlignment="1" applyProtection="1">
      <alignment horizontal="left"/>
    </xf>
    <xf numFmtId="0" fontId="51" fillId="35" borderId="8" xfId="333" applyFont="1" applyFill="1" applyBorder="1" applyProtection="1"/>
    <xf numFmtId="0" fontId="51" fillId="35" borderId="9" xfId="333" applyFont="1" applyFill="1" applyBorder="1" applyProtection="1"/>
    <xf numFmtId="0" fontId="51" fillId="35" borderId="23" xfId="333" applyFont="1" applyFill="1" applyBorder="1" applyProtection="1"/>
    <xf numFmtId="16" fontId="50" fillId="6" borderId="103" xfId="0" applyNumberFormat="1" applyFont="1" applyFill="1" applyBorder="1" applyProtection="1"/>
    <xf numFmtId="0" fontId="47" fillId="6" borderId="96" xfId="0" applyFont="1" applyFill="1" applyBorder="1" applyProtection="1"/>
    <xf numFmtId="3" fontId="47" fillId="6" borderId="97" xfId="0" applyNumberFormat="1" applyFont="1" applyFill="1" applyBorder="1" applyProtection="1"/>
    <xf numFmtId="3" fontId="47" fillId="6" borderId="96" xfId="0" applyNumberFormat="1" applyFont="1" applyFill="1" applyBorder="1" applyAlignment="1" applyProtection="1"/>
    <xf numFmtId="3" fontId="47" fillId="6" borderId="104" xfId="0" applyNumberFormat="1" applyFont="1" applyFill="1" applyBorder="1" applyAlignment="1" applyProtection="1"/>
    <xf numFmtId="3" fontId="48" fillId="6" borderId="104" xfId="0" applyNumberFormat="1" applyFont="1" applyFill="1" applyBorder="1" applyProtection="1"/>
    <xf numFmtId="16" fontId="50" fillId="37" borderId="103" xfId="0" applyNumberFormat="1" applyFont="1" applyFill="1" applyBorder="1" applyProtection="1"/>
    <xf numFmtId="0" fontId="47" fillId="37" borderId="96" xfId="0" applyFont="1" applyFill="1" applyBorder="1" applyProtection="1"/>
    <xf numFmtId="3" fontId="47" fillId="37" borderId="97" xfId="0" applyNumberFormat="1" applyFont="1" applyFill="1" applyBorder="1" applyProtection="1"/>
    <xf numFmtId="3" fontId="47" fillId="37" borderId="96" xfId="0" applyNumberFormat="1" applyFont="1" applyFill="1" applyBorder="1" applyAlignment="1" applyProtection="1"/>
    <xf numFmtId="3" fontId="47" fillId="37" borderId="104" xfId="0" applyNumberFormat="1" applyFont="1" applyFill="1" applyBorder="1" applyAlignment="1" applyProtection="1"/>
    <xf numFmtId="3" fontId="48" fillId="37" borderId="104" xfId="0" applyNumberFormat="1" applyFont="1" applyFill="1" applyBorder="1" applyProtection="1"/>
    <xf numFmtId="16" fontId="50" fillId="30" borderId="103" xfId="0" applyNumberFormat="1" applyFont="1" applyFill="1" applyBorder="1" applyProtection="1"/>
    <xf numFmtId="0" fontId="47" fillId="30" borderId="96" xfId="0" applyFont="1" applyFill="1" applyBorder="1" applyProtection="1"/>
    <xf numFmtId="3" fontId="47" fillId="30" borderId="96" xfId="0" applyNumberFormat="1" applyFont="1" applyFill="1" applyBorder="1" applyAlignment="1" applyProtection="1"/>
    <xf numFmtId="3" fontId="47" fillId="30" borderId="104" xfId="0" applyNumberFormat="1" applyFont="1" applyFill="1" applyBorder="1" applyAlignment="1" applyProtection="1"/>
    <xf numFmtId="3" fontId="48" fillId="30" borderId="104" xfId="0" applyNumberFormat="1" applyFont="1" applyFill="1" applyBorder="1" applyProtection="1"/>
    <xf numFmtId="3" fontId="48" fillId="33" borderId="0" xfId="333" applyNumberFormat="1" applyFont="1" applyFill="1" applyBorder="1" applyAlignment="1" applyProtection="1"/>
    <xf numFmtId="3" fontId="48" fillId="33" borderId="0" xfId="333" applyNumberFormat="1" applyFont="1" applyFill="1" applyBorder="1" applyProtection="1"/>
    <xf numFmtId="3" fontId="48" fillId="33" borderId="9" xfId="333" applyNumberFormat="1" applyFont="1" applyFill="1" applyBorder="1" applyProtection="1"/>
    <xf numFmtId="3" fontId="48" fillId="32" borderId="0" xfId="333" applyNumberFormat="1" applyFont="1" applyFill="1" applyBorder="1" applyAlignment="1" applyProtection="1">
      <protection locked="0"/>
    </xf>
    <xf numFmtId="3" fontId="48" fillId="33" borderId="165" xfId="333" applyNumberFormat="1" applyFont="1" applyFill="1" applyBorder="1" applyAlignment="1" applyProtection="1"/>
    <xf numFmtId="3" fontId="48" fillId="33" borderId="166" xfId="333" applyNumberFormat="1" applyFont="1" applyFill="1" applyBorder="1" applyAlignment="1" applyProtection="1"/>
    <xf numFmtId="3" fontId="47" fillId="6" borderId="158" xfId="333" applyNumberFormat="1" applyFont="1" applyFill="1" applyBorder="1" applyProtection="1"/>
    <xf numFmtId="3" fontId="47" fillId="6" borderId="159" xfId="333" applyNumberFormat="1" applyFont="1" applyFill="1" applyBorder="1" applyProtection="1"/>
    <xf numFmtId="3" fontId="48" fillId="5" borderId="0" xfId="333" applyNumberFormat="1" applyFont="1" applyFill="1" applyBorder="1" applyProtection="1">
      <protection locked="0"/>
    </xf>
    <xf numFmtId="3" fontId="48" fillId="33" borderId="9" xfId="333" applyNumberFormat="1" applyFont="1" applyFill="1" applyBorder="1" applyAlignment="1" applyProtection="1"/>
    <xf numFmtId="3" fontId="47" fillId="6" borderId="167" xfId="333" applyNumberFormat="1" applyFont="1" applyFill="1" applyBorder="1" applyProtection="1"/>
    <xf numFmtId="3" fontId="47" fillId="6" borderId="168" xfId="333" applyNumberFormat="1" applyFont="1" applyFill="1" applyBorder="1" applyProtection="1"/>
    <xf numFmtId="3" fontId="47" fillId="37" borderId="158" xfId="333" applyNumberFormat="1" applyFont="1" applyFill="1" applyBorder="1" applyProtection="1"/>
    <xf numFmtId="3" fontId="47" fillId="37" borderId="159" xfId="333" applyNumberFormat="1" applyFont="1" applyFill="1" applyBorder="1" applyProtection="1"/>
    <xf numFmtId="3" fontId="47" fillId="37" borderId="19" xfId="333" applyNumberFormat="1" applyFont="1" applyFill="1" applyBorder="1" applyAlignment="1" applyProtection="1"/>
    <xf numFmtId="3" fontId="47" fillId="37" borderId="167" xfId="333" applyNumberFormat="1" applyFont="1" applyFill="1" applyBorder="1" applyAlignment="1" applyProtection="1"/>
    <xf numFmtId="3" fontId="47" fillId="37" borderId="168" xfId="333" applyNumberFormat="1" applyFont="1" applyFill="1" applyBorder="1" applyAlignment="1" applyProtection="1"/>
    <xf numFmtId="3" fontId="47" fillId="30" borderId="167" xfId="333" applyNumberFormat="1" applyFont="1" applyFill="1" applyBorder="1" applyProtection="1"/>
    <xf numFmtId="3" fontId="47" fillId="30" borderId="168" xfId="333" applyNumberFormat="1" applyFont="1" applyFill="1" applyBorder="1" applyProtection="1"/>
    <xf numFmtId="3" fontId="47" fillId="0" borderId="6" xfId="333" applyNumberFormat="1" applyFont="1" applyFill="1" applyBorder="1" applyAlignment="1" applyProtection="1"/>
    <xf numFmtId="3" fontId="47" fillId="0" borderId="7" xfId="333" applyNumberFormat="1" applyFont="1" applyFill="1" applyBorder="1" applyAlignment="1" applyProtection="1"/>
    <xf numFmtId="3" fontId="47" fillId="0" borderId="8" xfId="333" applyNumberFormat="1" applyFont="1" applyFill="1" applyBorder="1" applyAlignment="1" applyProtection="1"/>
    <xf numFmtId="3" fontId="47" fillId="0" borderId="1" xfId="333" applyNumberFormat="1" applyFont="1" applyFill="1" applyBorder="1" applyAlignment="1" applyProtection="1"/>
    <xf numFmtId="3" fontId="47" fillId="0" borderId="0" xfId="333" applyNumberFormat="1" applyFont="1" applyFill="1" applyBorder="1" applyAlignment="1" applyProtection="1"/>
    <xf numFmtId="3" fontId="47" fillId="0" borderId="9" xfId="333" applyNumberFormat="1" applyFont="1" applyFill="1" applyBorder="1" applyAlignment="1" applyProtection="1"/>
    <xf numFmtId="3" fontId="47" fillId="0" borderId="22" xfId="333" applyNumberFormat="1" applyFont="1" applyFill="1" applyBorder="1" applyAlignment="1" applyProtection="1"/>
    <xf numFmtId="3" fontId="47" fillId="0" borderId="2" xfId="333" applyNumberFormat="1" applyFont="1" applyFill="1" applyBorder="1" applyAlignment="1" applyProtection="1"/>
    <xf numFmtId="3" fontId="47" fillId="0" borderId="23" xfId="333" applyNumberFormat="1" applyFont="1" applyFill="1" applyBorder="1" applyAlignment="1" applyProtection="1"/>
    <xf numFmtId="3" fontId="47" fillId="33" borderId="6" xfId="333" applyNumberFormat="1" applyFont="1" applyFill="1" applyBorder="1" applyAlignment="1" applyProtection="1"/>
    <xf numFmtId="3" fontId="47" fillId="33" borderId="7" xfId="333" applyNumberFormat="1" applyFont="1" applyFill="1" applyBorder="1" applyAlignment="1" applyProtection="1"/>
    <xf numFmtId="3" fontId="47" fillId="33" borderId="8" xfId="333" applyNumberFormat="1" applyFont="1" applyFill="1" applyBorder="1" applyAlignment="1" applyProtection="1"/>
    <xf numFmtId="3" fontId="47" fillId="33" borderId="1" xfId="333" applyNumberFormat="1" applyFont="1" applyFill="1" applyBorder="1" applyAlignment="1" applyProtection="1"/>
    <xf numFmtId="3" fontId="47" fillId="33" borderId="0" xfId="333" applyNumberFormat="1" applyFont="1" applyFill="1" applyBorder="1" applyAlignment="1" applyProtection="1"/>
    <xf numFmtId="3" fontId="47" fillId="33" borderId="9" xfId="333" applyNumberFormat="1" applyFont="1" applyFill="1" applyBorder="1" applyAlignment="1" applyProtection="1"/>
    <xf numFmtId="3" fontId="47" fillId="33" borderId="22" xfId="333" applyNumberFormat="1" applyFont="1" applyFill="1" applyBorder="1" applyAlignment="1" applyProtection="1"/>
    <xf numFmtId="3" fontId="47" fillId="33" borderId="2" xfId="333" applyNumberFormat="1" applyFont="1" applyFill="1" applyBorder="1" applyAlignment="1" applyProtection="1"/>
    <xf numFmtId="3" fontId="47" fillId="33" borderId="23" xfId="333" applyNumberFormat="1" applyFont="1" applyFill="1" applyBorder="1" applyAlignment="1" applyProtection="1"/>
    <xf numFmtId="16" fontId="50" fillId="6" borderId="12" xfId="333" applyNumberFormat="1" applyFont="1" applyFill="1" applyBorder="1" applyProtection="1"/>
    <xf numFmtId="3" fontId="47" fillId="6" borderId="26" xfId="333" applyNumberFormat="1" applyFont="1" applyFill="1" applyBorder="1" applyProtection="1"/>
    <xf numFmtId="3" fontId="48" fillId="6" borderId="11" xfId="333" applyNumberFormat="1" applyFont="1" applyFill="1" applyBorder="1" applyProtection="1"/>
    <xf numFmtId="16" fontId="50" fillId="30" borderId="12" xfId="333" applyNumberFormat="1" applyFont="1" applyFill="1" applyBorder="1" applyProtection="1"/>
    <xf numFmtId="0" fontId="47" fillId="30" borderId="10" xfId="333" applyFont="1" applyFill="1" applyBorder="1" applyProtection="1"/>
    <xf numFmtId="3" fontId="47" fillId="30" borderId="12" xfId="333" applyNumberFormat="1" applyFont="1" applyFill="1" applyBorder="1" applyAlignment="1" applyProtection="1"/>
    <xf numFmtId="3" fontId="47" fillId="30" borderId="10" xfId="333" applyNumberFormat="1" applyFont="1" applyFill="1" applyBorder="1" applyAlignment="1" applyProtection="1"/>
    <xf numFmtId="3" fontId="47" fillId="30" borderId="11" xfId="333" applyNumberFormat="1" applyFont="1" applyFill="1" applyBorder="1" applyAlignment="1" applyProtection="1"/>
    <xf numFmtId="3" fontId="48" fillId="30" borderId="10" xfId="333" applyNumberFormat="1" applyFont="1" applyFill="1" applyBorder="1" applyProtection="1"/>
    <xf numFmtId="0" fontId="53" fillId="0" borderId="13" xfId="333" applyFont="1" applyBorder="1" applyProtection="1"/>
    <xf numFmtId="0" fontId="53" fillId="0" borderId="17" xfId="333" applyFont="1" applyBorder="1" applyProtection="1"/>
    <xf numFmtId="0" fontId="50" fillId="0" borderId="17" xfId="333" applyFont="1" applyFill="1" applyBorder="1" applyProtection="1"/>
    <xf numFmtId="0" fontId="50" fillId="0" borderId="17" xfId="333" applyFont="1" applyFill="1" applyBorder="1" applyAlignment="1" applyProtection="1">
      <alignment horizontal="right"/>
    </xf>
    <xf numFmtId="0" fontId="50" fillId="0" borderId="17" xfId="333" applyFont="1" applyBorder="1" applyProtection="1"/>
    <xf numFmtId="0" fontId="50" fillId="0" borderId="18" xfId="333" applyFont="1" applyBorder="1" applyProtection="1"/>
    <xf numFmtId="0" fontId="78" fillId="0" borderId="0" xfId="333" applyFont="1" applyBorder="1" applyAlignment="1" applyProtection="1">
      <alignment horizontal="left"/>
      <protection locked="0"/>
    </xf>
    <xf numFmtId="3" fontId="50" fillId="3" borderId="0" xfId="333" applyNumberFormat="1" applyFont="1" applyFill="1" applyBorder="1" applyProtection="1">
      <protection locked="0"/>
    </xf>
    <xf numFmtId="3" fontId="50" fillId="0" borderId="0" xfId="333" applyNumberFormat="1" applyFont="1" applyFill="1" applyBorder="1" applyAlignment="1" applyProtection="1">
      <alignment vertical="center"/>
      <protection locked="0"/>
    </xf>
    <xf numFmtId="16" fontId="78" fillId="0" borderId="0" xfId="333" applyNumberFormat="1" applyFont="1" applyFill="1" applyBorder="1" applyAlignment="1" applyProtection="1">
      <alignment horizontal="left" vertical="center" wrapText="1"/>
      <protection locked="0"/>
    </xf>
    <xf numFmtId="0" fontId="78" fillId="0" borderId="0" xfId="333" applyFont="1" applyFill="1" applyBorder="1" applyAlignment="1" applyProtection="1">
      <alignment horizontal="left"/>
      <protection locked="0"/>
    </xf>
    <xf numFmtId="0" fontId="47" fillId="0" borderId="0" xfId="333" applyFont="1" applyBorder="1" applyAlignment="1" applyProtection="1">
      <alignment horizontal="center"/>
      <protection locked="0"/>
    </xf>
    <xf numFmtId="16" fontId="47" fillId="0" borderId="0" xfId="333" applyNumberFormat="1" applyFont="1" applyFill="1" applyBorder="1" applyAlignment="1" applyProtection="1">
      <alignment horizontal="center" vertical="center"/>
      <protection locked="0"/>
    </xf>
    <xf numFmtId="0" fontId="50" fillId="0" borderId="0" xfId="333" applyFont="1" applyFill="1" applyBorder="1" applyAlignment="1" applyProtection="1">
      <alignment vertical="center"/>
      <protection locked="0"/>
    </xf>
    <xf numFmtId="16" fontId="78" fillId="0" borderId="0" xfId="333" applyNumberFormat="1" applyFont="1" applyFill="1" applyBorder="1" applyAlignment="1" applyProtection="1">
      <alignment horizontal="left"/>
      <protection locked="0"/>
    </xf>
    <xf numFmtId="0" fontId="48" fillId="0" borderId="15" xfId="333" applyFont="1" applyBorder="1" applyProtection="1"/>
    <xf numFmtId="0" fontId="47" fillId="0" borderId="16" xfId="333" applyFont="1" applyFill="1" applyBorder="1" applyAlignment="1" applyProtection="1">
      <alignment horizontal="left"/>
    </xf>
    <xf numFmtId="0" fontId="48" fillId="0" borderId="29" xfId="333" applyFont="1" applyBorder="1" applyProtection="1"/>
    <xf numFmtId="0" fontId="47" fillId="0" borderId="49" xfId="333" applyFont="1" applyFill="1" applyBorder="1" applyAlignment="1" applyProtection="1">
      <alignment horizontal="left"/>
    </xf>
    <xf numFmtId="0" fontId="48" fillId="0" borderId="19" xfId="333" applyFont="1" applyBorder="1" applyProtection="1"/>
    <xf numFmtId="0" fontId="47" fillId="0" borderId="21" xfId="333" applyFont="1" applyFill="1" applyBorder="1" applyAlignment="1" applyProtection="1">
      <alignment horizontal="left"/>
    </xf>
    <xf numFmtId="0" fontId="46" fillId="0" borderId="0" xfId="333" applyFont="1" applyFill="1" applyBorder="1" applyAlignment="1" applyProtection="1">
      <alignment horizontal="left" vertical="center"/>
      <protection locked="0"/>
    </xf>
    <xf numFmtId="0" fontId="47" fillId="2" borderId="15" xfId="333" applyFont="1" applyFill="1" applyBorder="1" applyAlignment="1" applyProtection="1">
      <alignment horizontal="center"/>
    </xf>
    <xf numFmtId="1" fontId="79" fillId="0" borderId="17" xfId="333" applyNumberFormat="1" applyFont="1" applyBorder="1" applyAlignment="1" applyProtection="1">
      <alignment horizontal="center"/>
    </xf>
    <xf numFmtId="0" fontId="52" fillId="0" borderId="0" xfId="333" applyFont="1" applyFill="1" applyBorder="1" applyAlignment="1" applyProtection="1">
      <alignment horizontal="center" wrapText="1"/>
      <protection locked="0"/>
    </xf>
    <xf numFmtId="0" fontId="48" fillId="2" borderId="47" xfId="333" applyFont="1" applyFill="1" applyBorder="1" applyAlignment="1" applyProtection="1">
      <alignment horizontal="center"/>
    </xf>
    <xf numFmtId="0" fontId="47" fillId="0" borderId="0" xfId="333" applyFont="1" applyProtection="1"/>
    <xf numFmtId="0" fontId="48" fillId="0" borderId="0" xfId="333" applyFont="1" applyBorder="1" applyProtection="1">
      <protection locked="0"/>
    </xf>
    <xf numFmtId="0" fontId="48" fillId="3" borderId="0" xfId="333" applyFont="1" applyFill="1" applyBorder="1" applyProtection="1">
      <protection locked="0"/>
    </xf>
    <xf numFmtId="3" fontId="50" fillId="3" borderId="0" xfId="333" applyNumberFormat="1" applyFont="1" applyFill="1" applyBorder="1" applyAlignment="1" applyProtection="1">
      <protection locked="0"/>
    </xf>
    <xf numFmtId="3" fontId="50" fillId="4" borderId="15" xfId="333" applyNumberFormat="1" applyFont="1" applyFill="1" applyBorder="1" applyAlignment="1" applyProtection="1">
      <alignment horizontal="center"/>
      <protection hidden="1"/>
    </xf>
    <xf numFmtId="10" fontId="50" fillId="0" borderId="0" xfId="36" applyNumberFormat="1" applyFont="1" applyFill="1" applyBorder="1" applyAlignment="1" applyProtection="1">
      <alignment horizontal="center"/>
      <protection locked="0"/>
    </xf>
    <xf numFmtId="173" fontId="50" fillId="0" borderId="0" xfId="333" applyNumberFormat="1" applyFont="1" applyFill="1" applyBorder="1" applyAlignment="1" applyProtection="1">
      <alignment horizontal="center"/>
      <protection locked="0"/>
    </xf>
    <xf numFmtId="0" fontId="67" fillId="0" borderId="0" xfId="333" applyFont="1" applyBorder="1" applyProtection="1">
      <protection locked="0"/>
    </xf>
    <xf numFmtId="0" fontId="53" fillId="0" borderId="0" xfId="333" applyFont="1" applyBorder="1" applyProtection="1"/>
    <xf numFmtId="0" fontId="50" fillId="0" borderId="0" xfId="333" applyFont="1" applyFill="1" applyBorder="1" applyProtection="1"/>
    <xf numFmtId="0" fontId="50" fillId="0" borderId="0" xfId="333" applyFont="1" applyFill="1" applyBorder="1" applyAlignment="1" applyProtection="1">
      <alignment horizontal="right"/>
    </xf>
    <xf numFmtId="0" fontId="50" fillId="0" borderId="0" xfId="333" applyFont="1" applyBorder="1" applyProtection="1"/>
    <xf numFmtId="0" fontId="48" fillId="0" borderId="164" xfId="333" applyFont="1" applyBorder="1" applyProtection="1"/>
    <xf numFmtId="0" fontId="47" fillId="0" borderId="166" xfId="333" applyFont="1" applyFill="1" applyBorder="1" applyAlignment="1" applyProtection="1">
      <alignment horizontal="left"/>
    </xf>
    <xf numFmtId="3" fontId="47" fillId="6" borderId="166" xfId="333" applyNumberFormat="1" applyFont="1" applyFill="1" applyBorder="1" applyProtection="1"/>
    <xf numFmtId="3" fontId="48" fillId="33" borderId="1" xfId="333" applyNumberFormat="1" applyFont="1" applyFill="1" applyBorder="1" applyProtection="1"/>
    <xf numFmtId="0" fontId="48" fillId="2" borderId="40" xfId="333" applyFont="1" applyFill="1" applyBorder="1" applyAlignment="1" applyProtection="1">
      <alignment horizontal="center"/>
    </xf>
    <xf numFmtId="0" fontId="52" fillId="32" borderId="31" xfId="333" applyFont="1" applyFill="1" applyBorder="1" applyAlignment="1" applyProtection="1">
      <alignment horizontal="center"/>
    </xf>
    <xf numFmtId="0" fontId="50" fillId="0" borderId="7" xfId="333" applyFont="1" applyBorder="1" applyProtection="1">
      <protection locked="0"/>
    </xf>
    <xf numFmtId="0" fontId="50" fillId="0" borderId="8" xfId="333" applyFont="1" applyBorder="1" applyProtection="1">
      <protection locked="0"/>
    </xf>
    <xf numFmtId="0" fontId="50" fillId="0" borderId="9" xfId="333" applyFont="1" applyBorder="1" applyProtection="1">
      <protection locked="0"/>
    </xf>
    <xf numFmtId="0" fontId="50" fillId="0" borderId="158" xfId="333" applyFont="1" applyBorder="1" applyProtection="1">
      <protection locked="0"/>
    </xf>
    <xf numFmtId="0" fontId="50" fillId="0" borderId="159" xfId="333" applyFont="1" applyBorder="1" applyProtection="1">
      <protection locked="0"/>
    </xf>
    <xf numFmtId="0" fontId="62" fillId="0" borderId="1" xfId="333" applyFont="1" applyBorder="1" applyProtection="1"/>
    <xf numFmtId="2" fontId="48" fillId="0" borderId="78" xfId="333" applyNumberFormat="1" applyFont="1" applyFill="1" applyBorder="1" applyAlignment="1" applyProtection="1">
      <alignment horizontal="center" vertical="center"/>
    </xf>
    <xf numFmtId="173" fontId="50" fillId="5" borderId="14" xfId="333" applyNumberFormat="1" applyFont="1" applyFill="1" applyBorder="1" applyAlignment="1" applyProtection="1">
      <alignment horizontal="center"/>
      <protection locked="0"/>
    </xf>
    <xf numFmtId="173" fontId="50" fillId="5" borderId="160" xfId="333" applyNumberFormat="1" applyFont="1" applyFill="1" applyBorder="1" applyAlignment="1" applyProtection="1">
      <alignment horizontal="center"/>
      <protection locked="0"/>
    </xf>
    <xf numFmtId="0" fontId="52" fillId="2" borderId="46" xfId="333" applyFont="1" applyFill="1" applyBorder="1" applyAlignment="1" applyProtection="1">
      <alignment horizontal="center" wrapText="1"/>
      <protection locked="0"/>
    </xf>
    <xf numFmtId="0" fontId="52" fillId="2" borderId="61" xfId="333" applyFont="1" applyFill="1" applyBorder="1" applyAlignment="1" applyProtection="1">
      <alignment horizontal="center" wrapText="1"/>
      <protection locked="0"/>
    </xf>
    <xf numFmtId="0" fontId="50" fillId="2" borderId="33" xfId="333" applyFont="1" applyFill="1" applyBorder="1" applyAlignment="1" applyProtection="1">
      <alignment horizontal="center"/>
      <protection locked="0"/>
    </xf>
    <xf numFmtId="2" fontId="47" fillId="2" borderId="44" xfId="333" applyNumberFormat="1" applyFont="1" applyFill="1" applyBorder="1" applyAlignment="1" applyProtection="1">
      <alignment horizontal="center"/>
      <protection locked="0"/>
    </xf>
    <xf numFmtId="2" fontId="47" fillId="2" borderId="45" xfId="333" applyNumberFormat="1" applyFont="1" applyFill="1" applyBorder="1" applyAlignment="1" applyProtection="1">
      <alignment horizontal="center"/>
      <protection locked="0"/>
    </xf>
    <xf numFmtId="2" fontId="47" fillId="2" borderId="26" xfId="333" applyNumberFormat="1" applyFont="1" applyFill="1" applyBorder="1" applyAlignment="1" applyProtection="1">
      <alignment horizontal="center"/>
      <protection locked="0"/>
    </xf>
    <xf numFmtId="0" fontId="50" fillId="0" borderId="0" xfId="333" applyFont="1" applyBorder="1" applyAlignment="1" applyProtection="1">
      <alignment horizontal="right"/>
    </xf>
    <xf numFmtId="0" fontId="62" fillId="0" borderId="160" xfId="333" applyFont="1" applyBorder="1" applyProtection="1"/>
    <xf numFmtId="10" fontId="69" fillId="0" borderId="0" xfId="36" applyNumberFormat="1" applyFont="1" applyFill="1" applyBorder="1" applyAlignment="1" applyProtection="1">
      <alignment horizontal="left"/>
      <protection locked="0"/>
    </xf>
    <xf numFmtId="0" fontId="46" fillId="40" borderId="28" xfId="333" applyFont="1" applyFill="1" applyBorder="1" applyAlignment="1" applyProtection="1">
      <alignment horizontal="left"/>
    </xf>
    <xf numFmtId="0" fontId="52" fillId="40" borderId="20" xfId="333" applyFont="1" applyFill="1" applyBorder="1" applyAlignment="1" applyProtection="1">
      <alignment horizontal="left"/>
    </xf>
    <xf numFmtId="0" fontId="47" fillId="6" borderId="10" xfId="333" applyFont="1" applyFill="1" applyBorder="1" applyProtection="1"/>
    <xf numFmtId="3" fontId="47" fillId="33" borderId="3" xfId="333" applyNumberFormat="1" applyFont="1" applyFill="1" applyBorder="1" applyProtection="1"/>
    <xf numFmtId="3" fontId="47" fillId="33" borderId="174" xfId="333" applyNumberFormat="1" applyFont="1" applyFill="1" applyBorder="1" applyProtection="1"/>
    <xf numFmtId="3" fontId="48" fillId="35" borderId="163" xfId="333" applyNumberFormat="1" applyFont="1" applyFill="1" applyBorder="1" applyProtection="1"/>
    <xf numFmtId="0" fontId="46" fillId="43" borderId="39" xfId="333" applyFont="1" applyFill="1" applyBorder="1" applyAlignment="1" applyProtection="1">
      <alignment horizontal="center"/>
    </xf>
    <xf numFmtId="0" fontId="46" fillId="43" borderId="28" xfId="333" applyFont="1" applyFill="1" applyBorder="1" applyAlignment="1" applyProtection="1">
      <alignment horizontal="left"/>
    </xf>
    <xf numFmtId="0" fontId="46" fillId="43" borderId="16" xfId="333" applyFont="1" applyFill="1" applyBorder="1" applyAlignment="1" applyProtection="1">
      <alignment horizontal="left"/>
    </xf>
    <xf numFmtId="0" fontId="54" fillId="43" borderId="51" xfId="333" applyFont="1" applyFill="1" applyBorder="1" applyAlignment="1" applyProtection="1">
      <alignment horizontal="center"/>
    </xf>
    <xf numFmtId="0" fontId="52" fillId="43" borderId="20" xfId="333" applyFont="1" applyFill="1" applyBorder="1" applyAlignment="1" applyProtection="1">
      <alignment horizontal="left"/>
    </xf>
    <xf numFmtId="0" fontId="47" fillId="43" borderId="26" xfId="333" applyFont="1" applyFill="1" applyBorder="1" applyAlignment="1" applyProtection="1">
      <alignment horizontal="center"/>
    </xf>
    <xf numFmtId="0" fontId="51" fillId="43" borderId="11" xfId="333" applyFont="1" applyFill="1" applyBorder="1" applyProtection="1"/>
    <xf numFmtId="0" fontId="47" fillId="37" borderId="12" xfId="333" applyFont="1" applyFill="1" applyBorder="1" applyAlignment="1" applyProtection="1">
      <alignment horizontal="center"/>
    </xf>
    <xf numFmtId="0" fontId="47" fillId="37" borderId="10" xfId="333" applyFont="1" applyFill="1" applyBorder="1" applyProtection="1"/>
    <xf numFmtId="3" fontId="47" fillId="37" borderId="26" xfId="333" applyNumberFormat="1" applyFont="1" applyFill="1" applyBorder="1" applyProtection="1"/>
    <xf numFmtId="0" fontId="47" fillId="44" borderId="12" xfId="333" applyFont="1" applyFill="1" applyBorder="1" applyAlignment="1" applyProtection="1">
      <alignment horizontal="center"/>
    </xf>
    <xf numFmtId="0" fontId="47" fillId="44" borderId="10" xfId="333" applyFont="1" applyFill="1" applyBorder="1" applyProtection="1"/>
    <xf numFmtId="3" fontId="47" fillId="44" borderId="26" xfId="333" applyNumberFormat="1" applyFont="1" applyFill="1" applyBorder="1" applyProtection="1"/>
    <xf numFmtId="3" fontId="48" fillId="44" borderId="10" xfId="333" applyNumberFormat="1" applyFont="1" applyFill="1" applyBorder="1" applyProtection="1"/>
    <xf numFmtId="3" fontId="47" fillId="44" borderId="23" xfId="333" applyNumberFormat="1" applyFont="1" applyFill="1" applyBorder="1" applyProtection="1"/>
    <xf numFmtId="3" fontId="47" fillId="6" borderId="16" xfId="333" applyNumberFormat="1" applyFont="1" applyFill="1" applyBorder="1" applyProtection="1"/>
    <xf numFmtId="0" fontId="47" fillId="35" borderId="1" xfId="333" applyNumberFormat="1" applyFont="1" applyFill="1" applyBorder="1" applyAlignment="1" applyProtection="1">
      <alignment horizontal="center"/>
    </xf>
    <xf numFmtId="16" fontId="47" fillId="35" borderId="1" xfId="333" applyNumberFormat="1" applyFont="1" applyFill="1" applyBorder="1" applyAlignment="1" applyProtection="1">
      <alignment horizontal="center"/>
    </xf>
    <xf numFmtId="16" fontId="47" fillId="35" borderId="22" xfId="333" applyNumberFormat="1" applyFont="1" applyFill="1" applyBorder="1" applyAlignment="1" applyProtection="1">
      <alignment horizontal="center" vertical="center"/>
    </xf>
    <xf numFmtId="0" fontId="48" fillId="35" borderId="2" xfId="333" applyFont="1" applyFill="1" applyBorder="1" applyProtection="1"/>
    <xf numFmtId="3" fontId="69" fillId="0" borderId="0" xfId="40" applyNumberFormat="1" applyFont="1" applyFill="1" applyBorder="1" applyAlignment="1" applyProtection="1">
      <protection locked="0"/>
    </xf>
    <xf numFmtId="3" fontId="47" fillId="6" borderId="19" xfId="0" applyNumberFormat="1" applyFont="1" applyFill="1" applyBorder="1" applyAlignment="1" applyProtection="1"/>
    <xf numFmtId="3" fontId="47" fillId="37" borderId="19" xfId="0" applyNumberFormat="1" applyFont="1" applyFill="1" applyBorder="1" applyAlignment="1" applyProtection="1"/>
    <xf numFmtId="0" fontId="46" fillId="45" borderId="39" xfId="333" applyFont="1" applyFill="1" applyBorder="1" applyAlignment="1" applyProtection="1">
      <alignment horizontal="center"/>
    </xf>
    <xf numFmtId="0" fontId="54" fillId="45" borderId="51" xfId="333" applyFont="1" applyFill="1" applyBorder="1" applyAlignment="1" applyProtection="1">
      <alignment horizontal="center"/>
    </xf>
    <xf numFmtId="0" fontId="52" fillId="45" borderId="20" xfId="333" applyFont="1" applyFill="1" applyBorder="1" applyAlignment="1" applyProtection="1">
      <alignment horizontal="left"/>
    </xf>
    <xf numFmtId="0" fontId="47" fillId="45" borderId="26" xfId="333" applyFont="1" applyFill="1" applyBorder="1" applyAlignment="1" applyProtection="1">
      <alignment horizontal="center"/>
    </xf>
    <xf numFmtId="0" fontId="46" fillId="42" borderId="28" xfId="333" applyFont="1" applyFill="1" applyBorder="1" applyAlignment="1" applyProtection="1">
      <alignment horizontal="left"/>
    </xf>
    <xf numFmtId="0" fontId="46" fillId="7" borderId="28" xfId="333" applyFont="1" applyFill="1" applyBorder="1" applyAlignment="1" applyProtection="1">
      <alignment horizontal="left"/>
    </xf>
    <xf numFmtId="0" fontId="46" fillId="7" borderId="16" xfId="333" applyFont="1" applyFill="1" applyBorder="1" applyAlignment="1" applyProtection="1">
      <alignment horizontal="left"/>
    </xf>
    <xf numFmtId="0" fontId="54" fillId="7" borderId="51" xfId="333" applyFont="1" applyFill="1" applyBorder="1" applyAlignment="1" applyProtection="1">
      <alignment horizontal="center"/>
    </xf>
    <xf numFmtId="0" fontId="52" fillId="7" borderId="20" xfId="333" applyFont="1" applyFill="1" applyBorder="1" applyAlignment="1" applyProtection="1">
      <alignment horizontal="left"/>
    </xf>
    <xf numFmtId="0" fontId="51" fillId="7" borderId="11" xfId="333" applyFont="1" applyFill="1" applyBorder="1" applyProtection="1"/>
    <xf numFmtId="0" fontId="47" fillId="7" borderId="12" xfId="333" applyFont="1" applyFill="1" applyBorder="1" applyAlignment="1" applyProtection="1">
      <alignment horizontal="center"/>
    </xf>
    <xf numFmtId="0" fontId="47" fillId="7" borderId="10" xfId="333" applyFont="1" applyFill="1" applyBorder="1" applyProtection="1"/>
    <xf numFmtId="3" fontId="48" fillId="7" borderId="10" xfId="333" applyNumberFormat="1" applyFont="1" applyFill="1" applyBorder="1" applyProtection="1"/>
    <xf numFmtId="0" fontId="47" fillId="30" borderId="12" xfId="333" applyFont="1" applyFill="1" applyBorder="1" applyAlignment="1" applyProtection="1">
      <alignment horizontal="center"/>
    </xf>
    <xf numFmtId="3" fontId="47" fillId="30" borderId="12" xfId="333" applyNumberFormat="1" applyFont="1" applyFill="1" applyBorder="1" applyProtection="1"/>
    <xf numFmtId="3" fontId="47" fillId="30" borderId="10" xfId="333" applyNumberFormat="1" applyFont="1" applyFill="1" applyBorder="1" applyProtection="1"/>
    <xf numFmtId="3" fontId="47" fillId="30" borderId="11" xfId="333" applyNumberFormat="1" applyFont="1" applyFill="1" applyBorder="1" applyProtection="1"/>
    <xf numFmtId="0" fontId="47" fillId="35" borderId="1" xfId="333" applyFont="1" applyFill="1" applyBorder="1" applyAlignment="1" applyProtection="1">
      <alignment horizontal="center"/>
    </xf>
    <xf numFmtId="0" fontId="47" fillId="35" borderId="22" xfId="333" applyFont="1" applyFill="1" applyBorder="1" applyAlignment="1" applyProtection="1">
      <alignment horizontal="center"/>
    </xf>
    <xf numFmtId="3" fontId="47" fillId="35" borderId="0" xfId="333" applyNumberFormat="1" applyFont="1" applyFill="1" applyBorder="1" applyProtection="1"/>
    <xf numFmtId="3" fontId="47" fillId="35" borderId="2" xfId="333" applyNumberFormat="1" applyFont="1" applyFill="1" applyBorder="1" applyProtection="1"/>
    <xf numFmtId="0" fontId="48" fillId="35" borderId="7" xfId="333" applyFont="1" applyFill="1" applyBorder="1" applyAlignment="1" applyProtection="1">
      <alignment horizontal="right"/>
    </xf>
    <xf numFmtId="0" fontId="48" fillId="35" borderId="0" xfId="333" applyFont="1" applyFill="1" applyBorder="1" applyAlignment="1" applyProtection="1">
      <alignment horizontal="right"/>
    </xf>
    <xf numFmtId="0" fontId="48" fillId="35" borderId="2" xfId="333" applyFont="1" applyFill="1" applyBorder="1" applyAlignment="1" applyProtection="1">
      <alignment horizontal="right"/>
    </xf>
    <xf numFmtId="3" fontId="48" fillId="33" borderId="22" xfId="333" applyNumberFormat="1" applyFont="1" applyFill="1" applyBorder="1" applyProtection="1"/>
    <xf numFmtId="3" fontId="48" fillId="33" borderId="2" xfId="333" applyNumberFormat="1" applyFont="1" applyFill="1" applyBorder="1" applyProtection="1"/>
    <xf numFmtId="3" fontId="48" fillId="33" borderId="23" xfId="333" applyNumberFormat="1" applyFont="1" applyFill="1" applyBorder="1" applyProtection="1"/>
    <xf numFmtId="3" fontId="48" fillId="33" borderId="7" xfId="333" applyNumberFormat="1" applyFont="1" applyFill="1" applyBorder="1" applyProtection="1"/>
    <xf numFmtId="3" fontId="48" fillId="33" borderId="8" xfId="333" applyNumberFormat="1" applyFont="1" applyFill="1" applyBorder="1" applyProtection="1"/>
    <xf numFmtId="0" fontId="54" fillId="40" borderId="28" xfId="333" applyFont="1" applyFill="1" applyBorder="1" applyAlignment="1" applyProtection="1">
      <alignment horizontal="left"/>
    </xf>
    <xf numFmtId="0" fontId="55" fillId="40" borderId="16" xfId="333" applyFont="1" applyFill="1" applyBorder="1" applyAlignment="1" applyProtection="1"/>
    <xf numFmtId="0" fontId="51" fillId="40" borderId="16" xfId="333" applyFont="1" applyFill="1" applyBorder="1" applyAlignment="1" applyProtection="1">
      <alignment horizontal="left"/>
    </xf>
    <xf numFmtId="0" fontId="47" fillId="6" borderId="20" xfId="333" applyFont="1" applyFill="1" applyBorder="1" applyProtection="1"/>
    <xf numFmtId="3" fontId="48" fillId="6" borderId="30" xfId="333" applyNumberFormat="1" applyFont="1" applyFill="1" applyBorder="1" applyProtection="1"/>
    <xf numFmtId="3" fontId="51" fillId="6" borderId="19" xfId="333" applyNumberFormat="1" applyFont="1" applyFill="1" applyBorder="1" applyAlignment="1" applyProtection="1"/>
    <xf numFmtId="0" fontId="54" fillId="45" borderId="28" xfId="333" applyFont="1" applyFill="1" applyBorder="1" applyAlignment="1" applyProtection="1">
      <alignment horizontal="left"/>
    </xf>
    <xf numFmtId="0" fontId="55" fillId="45" borderId="16" xfId="333" applyFont="1" applyFill="1" applyBorder="1" applyAlignment="1" applyProtection="1"/>
    <xf numFmtId="0" fontId="46" fillId="45" borderId="6" xfId="333" applyFont="1" applyFill="1" applyBorder="1" applyAlignment="1" applyProtection="1">
      <alignment horizontal="center"/>
    </xf>
    <xf numFmtId="0" fontId="46" fillId="45" borderId="15" xfId="333" applyFont="1" applyFill="1" applyBorder="1" applyAlignment="1" applyProtection="1">
      <alignment horizontal="left"/>
    </xf>
    <xf numFmtId="0" fontId="51" fillId="45" borderId="16" xfId="333" applyFont="1" applyFill="1" applyBorder="1" applyAlignment="1" applyProtection="1">
      <alignment horizontal="left"/>
    </xf>
    <xf numFmtId="0" fontId="54" fillId="45" borderId="12" xfId="333" applyFont="1" applyFill="1" applyBorder="1" applyAlignment="1" applyProtection="1">
      <alignment horizontal="center"/>
    </xf>
    <xf numFmtId="0" fontId="52" fillId="45" borderId="19" xfId="333" applyFont="1" applyFill="1" applyBorder="1" applyAlignment="1" applyProtection="1">
      <alignment horizontal="left"/>
    </xf>
    <xf numFmtId="0" fontId="47" fillId="45" borderId="21" xfId="333" applyFont="1" applyFill="1" applyBorder="1" applyAlignment="1" applyProtection="1">
      <alignment horizontal="center"/>
    </xf>
    <xf numFmtId="0" fontId="48" fillId="35" borderId="56" xfId="333" applyFont="1" applyFill="1" applyBorder="1" applyProtection="1"/>
    <xf numFmtId="0" fontId="48" fillId="35" borderId="8" xfId="333" applyNumberFormat="1" applyFont="1" applyFill="1" applyBorder="1" applyProtection="1"/>
    <xf numFmtId="0" fontId="48" fillId="35" borderId="9" xfId="333" applyNumberFormat="1" applyFont="1" applyFill="1" applyBorder="1" applyProtection="1"/>
    <xf numFmtId="0" fontId="48" fillId="35" borderId="4" xfId="333" applyFont="1" applyFill="1" applyBorder="1" applyProtection="1"/>
    <xf numFmtId="0" fontId="48" fillId="35" borderId="77" xfId="333" applyFont="1" applyFill="1" applyBorder="1" applyProtection="1"/>
    <xf numFmtId="0" fontId="48" fillId="35" borderId="174" xfId="333" applyFont="1" applyFill="1" applyBorder="1" applyProtection="1"/>
    <xf numFmtId="0" fontId="48" fillId="35" borderId="27" xfId="333" applyFont="1" applyFill="1" applyBorder="1" applyProtection="1"/>
    <xf numFmtId="0" fontId="48" fillId="35" borderId="52" xfId="333" applyFont="1" applyFill="1" applyBorder="1" applyAlignment="1" applyProtection="1">
      <alignment horizontal="left" wrapText="1"/>
    </xf>
    <xf numFmtId="0" fontId="48" fillId="35" borderId="52" xfId="333" applyFont="1" applyFill="1" applyBorder="1" applyAlignment="1" applyProtection="1">
      <alignment horizontal="left"/>
    </xf>
    <xf numFmtId="0" fontId="48" fillId="35" borderId="26" xfId="333" applyFont="1" applyFill="1" applyBorder="1" applyAlignment="1" applyProtection="1">
      <alignment horizontal="left" wrapText="1"/>
    </xf>
    <xf numFmtId="3" fontId="47" fillId="37" borderId="49" xfId="333" applyNumberFormat="1" applyFont="1" applyFill="1" applyBorder="1" applyProtection="1"/>
    <xf numFmtId="0" fontId="79" fillId="0" borderId="13" xfId="333" applyFont="1" applyFill="1" applyBorder="1" applyAlignment="1" applyProtection="1">
      <alignment horizontal="center"/>
    </xf>
    <xf numFmtId="3" fontId="48" fillId="33" borderId="24" xfId="333" applyNumberFormat="1" applyFont="1" applyFill="1" applyBorder="1" applyProtection="1"/>
    <xf numFmtId="3" fontId="48" fillId="33" borderId="25" xfId="333" applyNumberFormat="1" applyFont="1" applyFill="1" applyBorder="1" applyProtection="1"/>
    <xf numFmtId="0" fontId="50" fillId="35" borderId="15" xfId="333" applyNumberFormat="1" applyFont="1" applyFill="1" applyBorder="1" applyAlignment="1" applyProtection="1">
      <alignment wrapText="1"/>
    </xf>
    <xf numFmtId="0" fontId="48" fillId="35" borderId="28" xfId="333" applyFont="1" applyFill="1" applyBorder="1" applyProtection="1"/>
    <xf numFmtId="0" fontId="50" fillId="35" borderId="1" xfId="333" applyNumberFormat="1" applyFont="1" applyFill="1" applyBorder="1" applyAlignment="1" applyProtection="1">
      <alignment wrapText="1"/>
    </xf>
    <xf numFmtId="0" fontId="50" fillId="35" borderId="12" xfId="333" applyNumberFormat="1" applyFont="1" applyFill="1" applyBorder="1" applyAlignment="1" applyProtection="1">
      <alignment horizontal="center" wrapText="1"/>
    </xf>
    <xf numFmtId="0" fontId="48" fillId="35" borderId="10" xfId="333" applyFont="1" applyFill="1" applyBorder="1" applyProtection="1"/>
    <xf numFmtId="169" fontId="48" fillId="35" borderId="8" xfId="333" applyNumberFormat="1" applyFont="1" applyFill="1" applyBorder="1" applyAlignment="1" applyProtection="1">
      <alignment horizontal="center"/>
    </xf>
    <xf numFmtId="169" fontId="48" fillId="35" borderId="54" xfId="333" applyNumberFormat="1" applyFont="1" applyFill="1" applyBorder="1" applyAlignment="1" applyProtection="1">
      <alignment horizontal="center"/>
    </xf>
    <xf numFmtId="0" fontId="48" fillId="35" borderId="158" xfId="333" applyFont="1" applyFill="1" applyBorder="1" applyProtection="1"/>
    <xf numFmtId="169" fontId="48" fillId="35" borderId="159" xfId="333" applyNumberFormat="1" applyFont="1" applyFill="1" applyBorder="1" applyAlignment="1" applyProtection="1">
      <alignment horizontal="center"/>
    </xf>
    <xf numFmtId="169" fontId="48" fillId="35" borderId="24" xfId="333" applyNumberFormat="1" applyFont="1" applyFill="1" applyBorder="1" applyAlignment="1" applyProtection="1">
      <alignment horizontal="center"/>
    </xf>
    <xf numFmtId="169" fontId="48" fillId="33" borderId="32" xfId="333" applyNumberFormat="1" applyFont="1" applyFill="1" applyBorder="1" applyAlignment="1" applyProtection="1">
      <alignment horizontal="center"/>
    </xf>
    <xf numFmtId="169" fontId="48" fillId="33" borderId="171" xfId="333" applyNumberFormat="1" applyFont="1" applyFill="1" applyBorder="1" applyAlignment="1" applyProtection="1">
      <alignment horizontal="center"/>
    </xf>
    <xf numFmtId="10" fontId="69" fillId="33" borderId="28" xfId="36" applyNumberFormat="1" applyFont="1" applyFill="1" applyBorder="1" applyAlignment="1" applyProtection="1">
      <alignment horizontal="center"/>
      <protection hidden="1"/>
    </xf>
    <xf numFmtId="10" fontId="69" fillId="33" borderId="16" xfId="36" applyNumberFormat="1" applyFont="1" applyFill="1" applyBorder="1" applyAlignment="1" applyProtection="1">
      <alignment horizontal="center"/>
      <protection hidden="1"/>
    </xf>
    <xf numFmtId="173" fontId="50" fillId="33" borderId="163" xfId="333" applyNumberFormat="1" applyFont="1" applyFill="1" applyBorder="1" applyAlignment="1" applyProtection="1">
      <alignment horizontal="center"/>
      <protection hidden="1"/>
    </xf>
    <xf numFmtId="173" fontId="50" fillId="33" borderId="54" xfId="333" applyNumberFormat="1" applyFont="1" applyFill="1" applyBorder="1" applyAlignment="1" applyProtection="1">
      <alignment horizontal="center"/>
      <protection hidden="1"/>
    </xf>
    <xf numFmtId="173" fontId="50" fillId="33" borderId="10" xfId="333" applyNumberFormat="1" applyFont="1" applyFill="1" applyBorder="1" applyAlignment="1" applyProtection="1">
      <alignment horizontal="center"/>
      <protection hidden="1"/>
    </xf>
    <xf numFmtId="173" fontId="50" fillId="33" borderId="11" xfId="333" applyNumberFormat="1" applyFont="1" applyFill="1" applyBorder="1" applyAlignment="1" applyProtection="1">
      <alignment horizontal="center"/>
      <protection hidden="1"/>
    </xf>
    <xf numFmtId="10" fontId="50" fillId="33" borderId="28" xfId="36" applyNumberFormat="1" applyFont="1" applyFill="1" applyBorder="1" applyAlignment="1" applyProtection="1">
      <alignment horizontal="center"/>
      <protection hidden="1"/>
    </xf>
    <xf numFmtId="10" fontId="50" fillId="33" borderId="16" xfId="36" applyNumberFormat="1" applyFont="1" applyFill="1" applyBorder="1" applyAlignment="1" applyProtection="1">
      <alignment horizontal="center"/>
      <protection hidden="1"/>
    </xf>
    <xf numFmtId="173" fontId="50" fillId="33" borderId="159" xfId="333" applyNumberFormat="1" applyFont="1" applyFill="1" applyBorder="1" applyAlignment="1" applyProtection="1">
      <alignment horizontal="center"/>
      <protection hidden="1"/>
    </xf>
    <xf numFmtId="0" fontId="50" fillId="0" borderId="0" xfId="9" applyFont="1" applyFill="1" applyBorder="1" applyProtection="1">
      <protection locked="0"/>
    </xf>
    <xf numFmtId="0" fontId="55" fillId="7" borderId="16" xfId="333" applyFont="1" applyFill="1" applyBorder="1" applyAlignment="1" applyProtection="1"/>
    <xf numFmtId="16" fontId="50" fillId="0" borderId="0" xfId="333" quotePrefix="1" applyNumberFormat="1" applyFont="1" applyBorder="1" applyAlignment="1" applyProtection="1">
      <protection locked="0"/>
    </xf>
    <xf numFmtId="0" fontId="51" fillId="7" borderId="16" xfId="333" applyFont="1" applyFill="1" applyBorder="1" applyAlignment="1" applyProtection="1">
      <alignment horizontal="left"/>
    </xf>
    <xf numFmtId="0" fontId="51" fillId="0" borderId="0" xfId="9" applyFont="1" applyFill="1" applyBorder="1" applyProtection="1">
      <protection locked="0"/>
    </xf>
    <xf numFmtId="0" fontId="51" fillId="0" borderId="15" xfId="9" applyFont="1" applyFill="1" applyBorder="1" applyProtection="1"/>
    <xf numFmtId="0" fontId="47" fillId="0" borderId="64" xfId="9" applyFont="1" applyFill="1" applyBorder="1" applyAlignment="1" applyProtection="1">
      <alignment horizontal="right"/>
    </xf>
    <xf numFmtId="10" fontId="47" fillId="0" borderId="0" xfId="9" applyNumberFormat="1" applyFont="1" applyFill="1" applyBorder="1" applyProtection="1">
      <protection locked="0"/>
    </xf>
    <xf numFmtId="168" fontId="51" fillId="0" borderId="0" xfId="36" applyNumberFormat="1" applyFont="1" applyFill="1" applyBorder="1" applyAlignment="1" applyProtection="1">
      <protection locked="0"/>
    </xf>
    <xf numFmtId="168" fontId="51" fillId="0" borderId="0" xfId="36" applyNumberFormat="1" applyFont="1" applyFill="1" applyBorder="1" applyAlignment="1" applyProtection="1">
      <alignment horizontal="center"/>
      <protection locked="0"/>
    </xf>
    <xf numFmtId="0" fontId="47" fillId="0" borderId="29" xfId="9" applyFont="1" applyFill="1" applyBorder="1" applyAlignment="1" applyProtection="1">
      <alignment horizontal="left"/>
    </xf>
    <xf numFmtId="0" fontId="47" fillId="0" borderId="50" xfId="9" applyFont="1" applyFill="1" applyBorder="1" applyAlignment="1" applyProtection="1">
      <alignment horizontal="right"/>
    </xf>
    <xf numFmtId="3" fontId="47" fillId="0" borderId="0" xfId="9" applyNumberFormat="1" applyFont="1" applyFill="1" applyBorder="1" applyProtection="1">
      <protection locked="0"/>
    </xf>
    <xf numFmtId="3" fontId="51" fillId="0" borderId="0" xfId="36" applyNumberFormat="1" applyFont="1" applyFill="1" applyBorder="1" applyAlignment="1" applyProtection="1">
      <protection locked="0"/>
    </xf>
    <xf numFmtId="3" fontId="51" fillId="0" borderId="0" xfId="36" applyNumberFormat="1" applyFont="1" applyFill="1" applyBorder="1" applyAlignment="1" applyProtection="1">
      <alignment horizontal="center"/>
      <protection locked="0"/>
    </xf>
    <xf numFmtId="0" fontId="47" fillId="0" borderId="79" xfId="333" applyFont="1" applyFill="1" applyBorder="1" applyAlignment="1" applyProtection="1">
      <alignment horizontal="right"/>
    </xf>
    <xf numFmtId="0" fontId="76" fillId="0" borderId="0" xfId="9" applyFont="1" applyFill="1" applyBorder="1" applyProtection="1">
      <protection locked="0"/>
    </xf>
    <xf numFmtId="170" fontId="51" fillId="0" borderId="0" xfId="9" applyNumberFormat="1" applyFont="1" applyFill="1" applyBorder="1" applyProtection="1">
      <protection locked="0"/>
    </xf>
    <xf numFmtId="0" fontId="48" fillId="0" borderId="0" xfId="9" applyFont="1" applyFill="1" applyBorder="1" applyProtection="1">
      <protection locked="0"/>
    </xf>
    <xf numFmtId="170" fontId="50" fillId="0" borderId="0" xfId="333" applyNumberFormat="1" applyFont="1" applyFill="1" applyBorder="1" applyAlignment="1" applyProtection="1">
      <alignment horizontal="center"/>
      <protection locked="0"/>
    </xf>
    <xf numFmtId="0" fontId="62" fillId="0" borderId="6" xfId="333" applyFont="1" applyBorder="1" applyProtection="1"/>
    <xf numFmtId="0" fontId="62" fillId="0" borderId="7" xfId="333" applyFont="1" applyBorder="1" applyProtection="1"/>
    <xf numFmtId="0" fontId="69" fillId="0" borderId="7" xfId="333" applyFont="1" applyFill="1" applyBorder="1" applyProtection="1"/>
    <xf numFmtId="0" fontId="69" fillId="0" borderId="7" xfId="333" applyFont="1" applyFill="1" applyBorder="1" applyAlignment="1" applyProtection="1">
      <alignment horizontal="right"/>
    </xf>
    <xf numFmtId="0" fontId="69" fillId="0" borderId="7" xfId="333" applyFont="1" applyBorder="1" applyProtection="1"/>
    <xf numFmtId="0" fontId="69" fillId="0" borderId="8" xfId="333" applyFont="1" applyBorder="1" applyProtection="1"/>
    <xf numFmtId="0" fontId="62" fillId="0" borderId="0" xfId="333" applyFont="1" applyBorder="1" applyProtection="1"/>
    <xf numFmtId="0" fontId="69" fillId="0" borderId="0" xfId="333" applyFont="1" applyFill="1" applyBorder="1" applyProtection="1"/>
    <xf numFmtId="0" fontId="69" fillId="0" borderId="0" xfId="333" applyFont="1" applyFill="1" applyBorder="1" applyAlignment="1" applyProtection="1">
      <alignment horizontal="right"/>
    </xf>
    <xf numFmtId="0" fontId="69" fillId="0" borderId="0" xfId="333" applyFont="1" applyBorder="1" applyProtection="1"/>
    <xf numFmtId="0" fontId="69" fillId="0" borderId="9" xfId="333" applyFont="1" applyBorder="1" applyProtection="1"/>
    <xf numFmtId="0" fontId="47" fillId="0" borderId="1"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3" fontId="50" fillId="0" borderId="0" xfId="0" applyNumberFormat="1" applyFont="1" applyFill="1" applyBorder="1" applyAlignment="1" applyProtection="1">
      <alignment vertical="center"/>
      <protection locked="0"/>
    </xf>
    <xf numFmtId="0" fontId="50" fillId="0" borderId="0" xfId="0" applyFont="1" applyBorder="1" applyAlignment="1" applyProtection="1">
      <alignment vertical="center"/>
      <protection locked="0"/>
    </xf>
    <xf numFmtId="0" fontId="47" fillId="0" borderId="0" xfId="0" applyFont="1" applyBorder="1" applyAlignment="1" applyProtection="1">
      <alignment horizontal="center"/>
      <protection locked="0"/>
    </xf>
    <xf numFmtId="16" fontId="46" fillId="7" borderId="39" xfId="0" applyNumberFormat="1" applyFont="1" applyFill="1" applyBorder="1" applyAlignment="1" applyProtection="1">
      <alignment horizontal="center"/>
    </xf>
    <xf numFmtId="0" fontId="46" fillId="7" borderId="16" xfId="0" applyFont="1" applyFill="1" applyBorder="1" applyAlignment="1" applyProtection="1">
      <alignment horizontal="left"/>
    </xf>
    <xf numFmtId="16" fontId="47" fillId="0" borderId="0" xfId="0" applyNumberFormat="1" applyFont="1" applyFill="1" applyBorder="1" applyAlignment="1" applyProtection="1">
      <alignment horizontal="center" vertical="center"/>
      <protection locked="0"/>
    </xf>
    <xf numFmtId="0" fontId="50" fillId="0" borderId="0" xfId="0" applyFont="1" applyFill="1" applyBorder="1" applyAlignment="1" applyProtection="1">
      <alignment vertical="center"/>
      <protection locked="0"/>
    </xf>
    <xf numFmtId="3" fontId="51" fillId="0" borderId="0" xfId="0" applyNumberFormat="1" applyFont="1" applyFill="1" applyBorder="1" applyAlignment="1" applyProtection="1">
      <alignment horizontal="center"/>
      <protection locked="0"/>
    </xf>
    <xf numFmtId="3" fontId="83" fillId="0" borderId="0" xfId="0" applyNumberFormat="1" applyFont="1" applyFill="1" applyBorder="1" applyProtection="1">
      <protection hidden="1"/>
    </xf>
    <xf numFmtId="0" fontId="84" fillId="0" borderId="1" xfId="9" applyFont="1" applyFill="1" applyBorder="1" applyProtection="1"/>
    <xf numFmtId="0" fontId="76" fillId="0" borderId="0" xfId="0" applyFont="1" applyFill="1" applyBorder="1" applyProtection="1">
      <protection locked="0"/>
    </xf>
    <xf numFmtId="0" fontId="50" fillId="0" borderId="9" xfId="0" applyFont="1" applyBorder="1" applyProtection="1">
      <protection locked="0"/>
    </xf>
    <xf numFmtId="0" fontId="50" fillId="0" borderId="10" xfId="0" applyFont="1" applyFill="1" applyBorder="1" applyProtection="1"/>
    <xf numFmtId="0" fontId="50" fillId="0" borderId="0" xfId="0" applyFont="1" applyFill="1" applyBorder="1" applyAlignment="1" applyProtection="1">
      <alignment horizontal="right"/>
      <protection locked="0"/>
    </xf>
    <xf numFmtId="16" fontId="46" fillId="40" borderId="39" xfId="0" applyNumberFormat="1" applyFont="1" applyFill="1" applyBorder="1" applyAlignment="1" applyProtection="1">
      <alignment horizontal="center"/>
    </xf>
    <xf numFmtId="0" fontId="46" fillId="40" borderId="16" xfId="0" applyFont="1" applyFill="1" applyBorder="1" applyAlignment="1" applyProtection="1">
      <alignment horizontal="left"/>
    </xf>
    <xf numFmtId="16" fontId="46" fillId="42" borderId="39" xfId="0" applyNumberFormat="1" applyFont="1" applyFill="1" applyBorder="1" applyAlignment="1" applyProtection="1">
      <alignment horizontal="center"/>
    </xf>
    <xf numFmtId="0" fontId="52" fillId="42" borderId="4" xfId="0" applyFont="1" applyFill="1" applyBorder="1" applyAlignment="1" applyProtection="1">
      <alignment horizontal="left"/>
    </xf>
    <xf numFmtId="0" fontId="47" fillId="42" borderId="32" xfId="0" applyFont="1" applyFill="1" applyBorder="1" applyAlignment="1" applyProtection="1">
      <alignment horizontal="center"/>
    </xf>
    <xf numFmtId="0" fontId="51" fillId="42" borderId="9" xfId="0" applyFont="1" applyFill="1" applyBorder="1" applyProtection="1"/>
    <xf numFmtId="0" fontId="47" fillId="30" borderId="13" xfId="0" applyFont="1" applyFill="1" applyBorder="1" applyAlignment="1" applyProtection="1">
      <alignment horizontal="center"/>
    </xf>
    <xf numFmtId="0" fontId="48" fillId="30" borderId="17" xfId="0" applyFont="1" applyFill="1" applyBorder="1" applyProtection="1"/>
    <xf numFmtId="3" fontId="47" fillId="30" borderId="31" xfId="0" applyNumberFormat="1" applyFont="1" applyFill="1" applyBorder="1" applyProtection="1"/>
    <xf numFmtId="3" fontId="50" fillId="30" borderId="13" xfId="0" applyNumberFormat="1" applyFont="1" applyFill="1" applyBorder="1" applyProtection="1"/>
    <xf numFmtId="3" fontId="50" fillId="30" borderId="17" xfId="0" applyNumberFormat="1" applyFont="1" applyFill="1" applyBorder="1" applyProtection="1"/>
    <xf numFmtId="3" fontId="50" fillId="30" borderId="18" xfId="0" applyNumberFormat="1" applyFont="1" applyFill="1" applyBorder="1" applyProtection="1"/>
    <xf numFmtId="3" fontId="48" fillId="30" borderId="18" xfId="0" applyNumberFormat="1" applyFont="1" applyFill="1" applyBorder="1" applyProtection="1"/>
    <xf numFmtId="0" fontId="47" fillId="35" borderId="1" xfId="0" applyNumberFormat="1" applyFont="1" applyFill="1" applyBorder="1" applyAlignment="1" applyProtection="1">
      <alignment horizontal="center"/>
    </xf>
    <xf numFmtId="0" fontId="48" fillId="35" borderId="7" xfId="0" applyFont="1" applyFill="1" applyBorder="1" applyProtection="1"/>
    <xf numFmtId="16" fontId="47" fillId="35" borderId="1" xfId="0" applyNumberFormat="1" applyFont="1" applyFill="1" applyBorder="1" applyAlignment="1" applyProtection="1">
      <alignment horizontal="center"/>
    </xf>
    <xf numFmtId="16" fontId="47" fillId="35" borderId="12" xfId="0" applyNumberFormat="1" applyFont="1" applyFill="1" applyBorder="1" applyAlignment="1" applyProtection="1">
      <alignment horizontal="center" vertical="center"/>
    </xf>
    <xf numFmtId="0" fontId="48" fillId="35" borderId="10" xfId="0" applyFont="1" applyFill="1" applyBorder="1" applyAlignment="1" applyProtection="1">
      <alignment vertical="center"/>
    </xf>
    <xf numFmtId="0" fontId="48" fillId="35" borderId="7" xfId="0" applyNumberFormat="1" applyFont="1" applyFill="1" applyBorder="1" applyProtection="1"/>
    <xf numFmtId="3" fontId="48" fillId="35" borderId="10" xfId="0" applyNumberFormat="1" applyFont="1" applyFill="1" applyBorder="1" applyProtection="1"/>
    <xf numFmtId="0" fontId="47" fillId="35" borderId="6" xfId="0" applyNumberFormat="1" applyFont="1" applyFill="1" applyBorder="1" applyAlignment="1" applyProtection="1">
      <alignment horizontal="center"/>
    </xf>
    <xf numFmtId="3" fontId="48" fillId="35" borderId="11" xfId="0" applyNumberFormat="1" applyFont="1" applyFill="1" applyBorder="1" applyProtection="1"/>
    <xf numFmtId="0" fontId="47" fillId="35" borderId="1" xfId="0" applyFont="1" applyFill="1" applyBorder="1" applyAlignment="1" applyProtection="1">
      <alignment horizontal="center"/>
    </xf>
    <xf numFmtId="0" fontId="48" fillId="35" borderId="0" xfId="0" applyFont="1" applyFill="1" applyBorder="1" applyAlignment="1" applyProtection="1">
      <alignment horizontal="left" vertical="center" wrapText="1"/>
    </xf>
    <xf numFmtId="3" fontId="47" fillId="35" borderId="8" xfId="0" applyNumberFormat="1" applyFont="1" applyFill="1" applyBorder="1" applyProtection="1"/>
    <xf numFmtId="3" fontId="47" fillId="35" borderId="9" xfId="0" applyNumberFormat="1" applyFont="1" applyFill="1" applyBorder="1" applyProtection="1"/>
    <xf numFmtId="3" fontId="47" fillId="33" borderId="30" xfId="0" applyNumberFormat="1" applyFont="1" applyFill="1" applyBorder="1" applyProtection="1"/>
    <xf numFmtId="3" fontId="82" fillId="33" borderId="26" xfId="0" applyNumberFormat="1" applyFont="1" applyFill="1" applyBorder="1" applyAlignment="1" applyProtection="1">
      <alignment horizontal="center"/>
    </xf>
    <xf numFmtId="3" fontId="51" fillId="33" borderId="19" xfId="0" applyNumberFormat="1" applyFont="1" applyFill="1" applyBorder="1" applyAlignment="1" applyProtection="1">
      <alignment horizontal="center"/>
    </xf>
    <xf numFmtId="3" fontId="51" fillId="33" borderId="20" xfId="0" applyNumberFormat="1" applyFont="1" applyFill="1" applyBorder="1" applyAlignment="1" applyProtection="1">
      <alignment horizontal="center"/>
    </xf>
    <xf numFmtId="3" fontId="51" fillId="33" borderId="21" xfId="0" applyNumberFormat="1" applyFont="1" applyFill="1" applyBorder="1" applyAlignment="1" applyProtection="1">
      <alignment horizontal="center"/>
    </xf>
    <xf numFmtId="3" fontId="50" fillId="0" borderId="0" xfId="0" applyNumberFormat="1" applyFont="1" applyFill="1" applyBorder="1" applyAlignment="1" applyProtection="1">
      <alignment horizontal="right"/>
      <protection locked="0"/>
    </xf>
    <xf numFmtId="0" fontId="52" fillId="6" borderId="15" xfId="0" applyFont="1" applyFill="1" applyBorder="1" applyProtection="1"/>
    <xf numFmtId="0" fontId="49" fillId="6" borderId="15" xfId="0" applyFont="1" applyFill="1" applyBorder="1" applyProtection="1"/>
    <xf numFmtId="0" fontId="52" fillId="6" borderId="12" xfId="0" applyFont="1" applyFill="1" applyBorder="1" applyProtection="1"/>
    <xf numFmtId="0" fontId="47" fillId="6" borderId="12" xfId="0" applyFont="1" applyFill="1" applyBorder="1" applyProtection="1"/>
    <xf numFmtId="3" fontId="47" fillId="6" borderId="30" xfId="0" applyNumberFormat="1" applyFont="1" applyFill="1" applyBorder="1" applyProtection="1"/>
    <xf numFmtId="0" fontId="55" fillId="0" borderId="0" xfId="0" applyFont="1" applyBorder="1" applyProtection="1">
      <protection locked="0"/>
    </xf>
    <xf numFmtId="0" fontId="47" fillId="0" borderId="0" xfId="0" applyFont="1" applyFill="1" applyBorder="1" applyAlignment="1" applyProtection="1">
      <alignment vertical="center"/>
    </xf>
    <xf numFmtId="0" fontId="49" fillId="6" borderId="28" xfId="0" applyFont="1" applyFill="1" applyBorder="1" applyProtection="1"/>
    <xf numFmtId="0" fontId="47" fillId="6" borderId="10" xfId="0" applyFont="1" applyFill="1" applyBorder="1" applyProtection="1"/>
    <xf numFmtId="0" fontId="52" fillId="0" borderId="0" xfId="0" applyFont="1" applyBorder="1" applyProtection="1">
      <protection locked="0"/>
    </xf>
    <xf numFmtId="3" fontId="47" fillId="0" borderId="0" xfId="0" applyNumberFormat="1" applyFont="1" applyBorder="1" applyProtection="1">
      <protection locked="0"/>
    </xf>
    <xf numFmtId="0" fontId="55" fillId="0" borderId="0" xfId="0" applyFont="1" applyFill="1" applyBorder="1" applyProtection="1">
      <protection locked="0"/>
    </xf>
    <xf numFmtId="0" fontId="50" fillId="0" borderId="158" xfId="0" applyFont="1" applyFill="1" applyBorder="1" applyProtection="1"/>
    <xf numFmtId="16" fontId="46" fillId="40" borderId="6" xfId="0" applyNumberFormat="1" applyFont="1" applyFill="1" applyBorder="1" applyAlignment="1" applyProtection="1">
      <alignment horizontal="center"/>
    </xf>
    <xf numFmtId="0" fontId="46" fillId="40" borderId="15" xfId="0" applyFont="1" applyFill="1" applyBorder="1" applyProtection="1"/>
    <xf numFmtId="176" fontId="55" fillId="40" borderId="33" xfId="0" applyNumberFormat="1" applyFont="1" applyFill="1" applyBorder="1" applyAlignment="1" applyProtection="1">
      <alignment horizontal="center"/>
    </xf>
    <xf numFmtId="0" fontId="46" fillId="40" borderId="12" xfId="0" applyFont="1" applyFill="1" applyBorder="1" applyAlignment="1" applyProtection="1">
      <alignment horizontal="center"/>
    </xf>
    <xf numFmtId="174" fontId="55" fillId="40" borderId="12" xfId="0" applyNumberFormat="1" applyFont="1" applyFill="1" applyBorder="1" applyAlignment="1" applyProtection="1">
      <alignment horizontal="left"/>
    </xf>
    <xf numFmtId="0" fontId="47" fillId="40" borderId="30" xfId="0" applyFont="1" applyFill="1" applyBorder="1" applyAlignment="1" applyProtection="1">
      <alignment horizontal="center"/>
    </xf>
    <xf numFmtId="0" fontId="46" fillId="40" borderId="28" xfId="0" applyFont="1" applyFill="1" applyBorder="1" applyProtection="1"/>
    <xf numFmtId="0" fontId="46" fillId="40" borderId="51" xfId="0" applyFont="1" applyFill="1" applyBorder="1" applyAlignment="1" applyProtection="1">
      <alignment horizontal="center"/>
    </xf>
    <xf numFmtId="174" fontId="55" fillId="40" borderId="10" xfId="0" applyNumberFormat="1" applyFont="1" applyFill="1" applyBorder="1" applyAlignment="1" applyProtection="1">
      <alignment horizontal="left"/>
    </xf>
    <xf numFmtId="0" fontId="52" fillId="6" borderId="29" xfId="0" applyFont="1" applyFill="1" applyBorder="1" applyProtection="1"/>
    <xf numFmtId="16" fontId="47" fillId="6" borderId="29" xfId="0" applyNumberFormat="1" applyFont="1" applyFill="1" applyBorder="1" applyAlignment="1" applyProtection="1"/>
    <xf numFmtId="3" fontId="47" fillId="6" borderId="52" xfId="0" applyNumberFormat="1" applyFont="1" applyFill="1" applyBorder="1" applyProtection="1"/>
    <xf numFmtId="16" fontId="47" fillId="6" borderId="27" xfId="0" applyNumberFormat="1" applyFont="1" applyFill="1" applyBorder="1" applyAlignment="1" applyProtection="1"/>
    <xf numFmtId="0" fontId="46" fillId="46" borderId="86" xfId="0" applyFont="1" applyFill="1" applyBorder="1" applyAlignment="1" applyProtection="1">
      <alignment horizontal="center"/>
    </xf>
    <xf numFmtId="0" fontId="46" fillId="46" borderId="89" xfId="0" applyFont="1" applyFill="1" applyBorder="1" applyAlignment="1" applyProtection="1">
      <alignment horizontal="left"/>
    </xf>
    <xf numFmtId="0" fontId="46" fillId="46" borderId="90" xfId="0" applyFont="1" applyFill="1" applyBorder="1" applyAlignment="1" applyProtection="1">
      <alignment horizontal="left"/>
    </xf>
    <xf numFmtId="0" fontId="46" fillId="46" borderId="98" xfId="0" applyFont="1" applyFill="1" applyBorder="1" applyAlignment="1" applyProtection="1">
      <alignment horizontal="center"/>
    </xf>
    <xf numFmtId="0" fontId="46" fillId="46" borderId="80" xfId="0" applyFont="1" applyFill="1" applyBorder="1" applyAlignment="1" applyProtection="1">
      <alignment horizontal="center"/>
    </xf>
    <xf numFmtId="0" fontId="46" fillId="46" borderId="81" xfId="0" applyFont="1" applyFill="1" applyBorder="1" applyAlignment="1" applyProtection="1">
      <alignment horizontal="center"/>
    </xf>
    <xf numFmtId="0" fontId="46" fillId="46" borderId="131" xfId="0" applyFont="1" applyFill="1" applyBorder="1" applyAlignment="1" applyProtection="1">
      <alignment horizontal="center"/>
    </xf>
    <xf numFmtId="0" fontId="48" fillId="46" borderId="0" xfId="0" applyFont="1" applyFill="1" applyBorder="1" applyProtection="1"/>
    <xf numFmtId="0" fontId="49" fillId="46" borderId="100" xfId="0" applyFont="1" applyFill="1" applyBorder="1" applyAlignment="1" applyProtection="1">
      <alignment horizontal="center"/>
    </xf>
    <xf numFmtId="0" fontId="47" fillId="46" borderId="0" xfId="0" applyFont="1" applyFill="1" applyBorder="1" applyAlignment="1" applyProtection="1">
      <alignment horizontal="center"/>
    </xf>
    <xf numFmtId="0" fontId="47" fillId="46" borderId="82" xfId="0" applyFont="1" applyFill="1" applyBorder="1" applyAlignment="1" applyProtection="1">
      <alignment horizontal="center"/>
    </xf>
    <xf numFmtId="174" fontId="49" fillId="46" borderId="87" xfId="0" applyNumberFormat="1" applyFont="1" applyFill="1" applyBorder="1" applyAlignment="1" applyProtection="1">
      <alignment horizontal="left"/>
    </xf>
    <xf numFmtId="174" fontId="49" fillId="46" borderId="84" xfId="0" applyNumberFormat="1" applyFont="1" applyFill="1" applyBorder="1" applyAlignment="1" applyProtection="1">
      <alignment horizontal="left"/>
    </xf>
    <xf numFmtId="0" fontId="48" fillId="46" borderId="83" xfId="0" applyFont="1" applyFill="1" applyBorder="1" applyAlignment="1" applyProtection="1">
      <alignment horizontal="center"/>
    </xf>
    <xf numFmtId="0" fontId="48" fillId="46" borderId="84" xfId="0" applyFont="1" applyFill="1" applyBorder="1" applyAlignment="1" applyProtection="1">
      <alignment horizontal="center"/>
    </xf>
    <xf numFmtId="0" fontId="48" fillId="46" borderId="85" xfId="0" applyFont="1" applyFill="1" applyBorder="1" applyAlignment="1" applyProtection="1">
      <alignment horizontal="center"/>
    </xf>
    <xf numFmtId="16" fontId="46" fillId="46" borderId="39" xfId="0" applyNumberFormat="1" applyFont="1" applyFill="1" applyBorder="1" applyAlignment="1" applyProtection="1">
      <alignment horizontal="center"/>
    </xf>
    <xf numFmtId="0" fontId="46" fillId="46" borderId="28" xfId="0" applyFont="1" applyFill="1" applyBorder="1" applyProtection="1"/>
    <xf numFmtId="0" fontId="50" fillId="46" borderId="16" xfId="0" applyFont="1" applyFill="1" applyBorder="1" applyProtection="1"/>
    <xf numFmtId="0" fontId="46" fillId="46" borderId="51" xfId="0" applyFont="1" applyFill="1" applyBorder="1" applyAlignment="1" applyProtection="1">
      <alignment horizontal="center"/>
    </xf>
    <xf numFmtId="0" fontId="55" fillId="46" borderId="10" xfId="0" applyFont="1" applyFill="1" applyBorder="1" applyProtection="1"/>
    <xf numFmtId="0" fontId="47" fillId="46" borderId="11" xfId="0" applyFont="1" applyFill="1" applyBorder="1" applyAlignment="1" applyProtection="1">
      <alignment horizontal="center"/>
    </xf>
    <xf numFmtId="0" fontId="51" fillId="46" borderId="11" xfId="0" applyFont="1" applyFill="1" applyBorder="1" applyAlignment="1" applyProtection="1">
      <alignment horizontal="center"/>
    </xf>
    <xf numFmtId="0" fontId="48" fillId="35" borderId="1" xfId="0" applyFont="1" applyFill="1" applyBorder="1" applyProtection="1"/>
    <xf numFmtId="0" fontId="48" fillId="35" borderId="6" xfId="0" applyFont="1" applyFill="1" applyBorder="1" applyProtection="1"/>
    <xf numFmtId="0" fontId="48" fillId="35" borderId="14" xfId="0" applyFont="1" applyFill="1" applyBorder="1" applyProtection="1"/>
    <xf numFmtId="0" fontId="52" fillId="35" borderId="29" xfId="0" applyFont="1" applyFill="1" applyBorder="1" applyProtection="1"/>
    <xf numFmtId="0" fontId="47" fillId="35" borderId="29" xfId="0" applyFont="1" applyFill="1" applyBorder="1" applyProtection="1"/>
    <xf numFmtId="0" fontId="52" fillId="35" borderId="1" xfId="0" applyFont="1" applyFill="1" applyBorder="1" applyProtection="1"/>
    <xf numFmtId="0" fontId="49" fillId="35" borderId="29" xfId="0" applyFont="1" applyFill="1" applyBorder="1" applyProtection="1"/>
    <xf numFmtId="0" fontId="48" fillId="35" borderId="4" xfId="0" applyFont="1" applyFill="1" applyBorder="1" applyProtection="1"/>
    <xf numFmtId="0" fontId="47" fillId="35" borderId="27" xfId="0" applyFont="1" applyFill="1" applyBorder="1" applyProtection="1"/>
    <xf numFmtId="0" fontId="49" fillId="35" borderId="27" xfId="0" applyFont="1" applyFill="1" applyBorder="1" applyProtection="1"/>
    <xf numFmtId="3" fontId="48" fillId="35" borderId="8" xfId="0" applyNumberFormat="1" applyFont="1" applyFill="1" applyBorder="1" applyProtection="1"/>
    <xf numFmtId="3" fontId="47" fillId="6" borderId="49" xfId="0" applyNumberFormat="1" applyFont="1" applyFill="1" applyBorder="1" applyProtection="1"/>
    <xf numFmtId="3" fontId="47" fillId="35" borderId="49" xfId="0" applyNumberFormat="1" applyFont="1" applyFill="1" applyBorder="1" applyProtection="1"/>
    <xf numFmtId="3" fontId="47" fillId="6" borderId="16" xfId="0" applyNumberFormat="1" applyFont="1" applyFill="1" applyBorder="1" applyProtection="1"/>
    <xf numFmtId="3" fontId="47" fillId="6" borderId="159" xfId="0" applyNumberFormat="1" applyFont="1" applyFill="1" applyBorder="1" applyProtection="1"/>
    <xf numFmtId="0" fontId="47" fillId="40" borderId="21" xfId="0" applyFont="1" applyFill="1" applyBorder="1" applyAlignment="1" applyProtection="1">
      <alignment horizontal="center"/>
    </xf>
    <xf numFmtId="3" fontId="48" fillId="33" borderId="24" xfId="0" applyNumberFormat="1" applyFont="1" applyFill="1" applyBorder="1" applyProtection="1"/>
    <xf numFmtId="3" fontId="48" fillId="33" borderId="25" xfId="0" applyNumberFormat="1" applyFont="1" applyFill="1" applyBorder="1" applyProtection="1"/>
    <xf numFmtId="3" fontId="47" fillId="33" borderId="52" xfId="0" applyNumberFormat="1" applyFont="1" applyFill="1" applyBorder="1" applyProtection="1"/>
    <xf numFmtId="3" fontId="47" fillId="6" borderId="29" xfId="0" applyNumberFormat="1" applyFont="1" applyFill="1" applyBorder="1" applyProtection="1"/>
    <xf numFmtId="3" fontId="47" fillId="6" borderId="27" xfId="0" applyNumberFormat="1" applyFont="1" applyFill="1" applyBorder="1" applyProtection="1"/>
    <xf numFmtId="3" fontId="47" fillId="33" borderId="29" xfId="0" applyNumberFormat="1" applyFont="1" applyFill="1" applyBorder="1" applyProtection="1"/>
    <xf numFmtId="3" fontId="47" fillId="33" borderId="27" xfId="0" applyNumberFormat="1" applyFont="1" applyFill="1" applyBorder="1" applyProtection="1"/>
    <xf numFmtId="3" fontId="47" fillId="33" borderId="49" xfId="0" applyNumberFormat="1" applyFont="1" applyFill="1" applyBorder="1" applyProtection="1"/>
    <xf numFmtId="3" fontId="47" fillId="3" borderId="0" xfId="0" applyNumberFormat="1" applyFont="1" applyFill="1" applyBorder="1" applyProtection="1">
      <protection locked="0"/>
    </xf>
    <xf numFmtId="3" fontId="48" fillId="6" borderId="12" xfId="0" applyNumberFormat="1" applyFont="1" applyFill="1" applyBorder="1" applyProtection="1"/>
    <xf numFmtId="3" fontId="48" fillId="6" borderId="10" xfId="0" applyNumberFormat="1" applyFont="1" applyFill="1" applyBorder="1" applyProtection="1"/>
    <xf numFmtId="0" fontId="50" fillId="0" borderId="3" xfId="0" applyFont="1" applyFill="1" applyBorder="1" applyProtection="1">
      <protection locked="0"/>
    </xf>
    <xf numFmtId="3" fontId="50" fillId="0" borderId="0" xfId="0" quotePrefix="1" applyNumberFormat="1" applyFont="1" applyFill="1" applyBorder="1" applyProtection="1">
      <protection locked="0"/>
    </xf>
    <xf numFmtId="0" fontId="50" fillId="0" borderId="3" xfId="0" applyFont="1" applyFill="1" applyBorder="1" applyAlignment="1" applyProtection="1">
      <alignment horizontal="left"/>
      <protection locked="0"/>
    </xf>
    <xf numFmtId="3" fontId="51" fillId="0" borderId="0" xfId="0" applyNumberFormat="1" applyFont="1" applyFill="1" applyBorder="1" applyAlignment="1" applyProtection="1">
      <alignment horizontal="right"/>
      <protection locked="0"/>
    </xf>
    <xf numFmtId="0" fontId="51" fillId="0" borderId="0" xfId="0" applyFont="1" applyBorder="1" applyAlignment="1" applyProtection="1">
      <alignment horizontal="right"/>
      <protection locked="0"/>
    </xf>
    <xf numFmtId="0" fontId="50" fillId="0" borderId="0" xfId="0" applyFont="1" applyFill="1" applyProtection="1">
      <protection locked="0"/>
    </xf>
    <xf numFmtId="0" fontId="47" fillId="6" borderId="29" xfId="0" applyFont="1" applyFill="1" applyBorder="1" applyProtection="1"/>
    <xf numFmtId="0" fontId="47" fillId="6" borderId="27" xfId="0" applyFont="1" applyFill="1" applyBorder="1" applyProtection="1"/>
    <xf numFmtId="0" fontId="50" fillId="0" borderId="163" xfId="0" applyFont="1" applyFill="1" applyBorder="1" applyProtection="1">
      <protection locked="0"/>
    </xf>
    <xf numFmtId="0" fontId="48" fillId="6" borderId="29" xfId="0" applyFont="1" applyFill="1" applyBorder="1" applyProtection="1"/>
    <xf numFmtId="16" fontId="48" fillId="35" borderId="1" xfId="0" quotePrefix="1" applyNumberFormat="1" applyFont="1" applyFill="1" applyBorder="1" applyAlignment="1" applyProtection="1">
      <alignment horizontal="center"/>
    </xf>
    <xf numFmtId="0" fontId="48" fillId="35" borderId="0" xfId="0" applyFont="1" applyFill="1" applyBorder="1" applyAlignment="1" applyProtection="1">
      <alignment horizontal="left"/>
    </xf>
    <xf numFmtId="16" fontId="48" fillId="35" borderId="0" xfId="0" applyNumberFormat="1" applyFont="1" applyFill="1" applyBorder="1" applyProtection="1"/>
    <xf numFmtId="0" fontId="48" fillId="35" borderId="0" xfId="0" applyFont="1" applyFill="1" applyBorder="1" applyAlignment="1" applyProtection="1">
      <alignment wrapText="1"/>
    </xf>
    <xf numFmtId="16" fontId="48" fillId="35" borderId="0" xfId="0" applyNumberFormat="1" applyFont="1" applyFill="1" applyBorder="1" applyAlignment="1" applyProtection="1">
      <alignment horizontal="left"/>
    </xf>
    <xf numFmtId="0" fontId="48" fillId="35" borderId="0" xfId="9" applyFont="1" applyFill="1" applyBorder="1" applyAlignment="1" applyProtection="1">
      <alignment wrapText="1"/>
    </xf>
    <xf numFmtId="0" fontId="47" fillId="35" borderId="1" xfId="0" applyFont="1" applyFill="1" applyBorder="1" applyProtection="1"/>
    <xf numFmtId="0" fontId="47" fillId="35" borderId="0" xfId="0" applyFont="1" applyFill="1" applyBorder="1" applyProtection="1"/>
    <xf numFmtId="0" fontId="48" fillId="35" borderId="12" xfId="0" applyFont="1" applyFill="1" applyBorder="1" applyProtection="1"/>
    <xf numFmtId="0" fontId="47" fillId="35" borderId="10" xfId="0" applyFont="1" applyFill="1" applyBorder="1" applyProtection="1"/>
    <xf numFmtId="3" fontId="48" fillId="35" borderId="7" xfId="0" quotePrefix="1" applyNumberFormat="1" applyFont="1" applyFill="1" applyBorder="1" applyProtection="1"/>
    <xf numFmtId="3" fontId="48" fillId="35" borderId="0" xfId="0" quotePrefix="1" applyNumberFormat="1" applyFont="1" applyFill="1" applyBorder="1" applyProtection="1"/>
    <xf numFmtId="3" fontId="47" fillId="35" borderId="0" xfId="0" applyNumberFormat="1" applyFont="1" applyFill="1" applyBorder="1" applyProtection="1"/>
    <xf numFmtId="3" fontId="47" fillId="35" borderId="10" xfId="0" applyNumberFormat="1" applyFont="1" applyFill="1" applyBorder="1" applyProtection="1"/>
    <xf numFmtId="3" fontId="48" fillId="33" borderId="24" xfId="0" quotePrefix="1" applyNumberFormat="1" applyFont="1" applyFill="1" applyBorder="1" applyProtection="1"/>
    <xf numFmtId="3" fontId="48" fillId="33" borderId="25" xfId="0" quotePrefix="1" applyNumberFormat="1" applyFont="1" applyFill="1" applyBorder="1" applyProtection="1"/>
    <xf numFmtId="3" fontId="47" fillId="33" borderId="3" xfId="0" applyNumberFormat="1" applyFont="1" applyFill="1" applyBorder="1" applyProtection="1"/>
    <xf numFmtId="3" fontId="48" fillId="33" borderId="41" xfId="0" applyNumberFormat="1" applyFont="1" applyFill="1" applyBorder="1" applyProtection="1"/>
    <xf numFmtId="3" fontId="48" fillId="33" borderId="6" xfId="0" quotePrefix="1" applyNumberFormat="1" applyFont="1" applyFill="1" applyBorder="1" applyProtection="1"/>
    <xf numFmtId="3" fontId="48" fillId="33" borderId="7" xfId="0" quotePrefix="1" applyNumberFormat="1" applyFont="1" applyFill="1" applyBorder="1" applyProtection="1"/>
    <xf numFmtId="3" fontId="48" fillId="33" borderId="8" xfId="0" quotePrefix="1" applyNumberFormat="1" applyFont="1" applyFill="1" applyBorder="1" applyProtection="1"/>
    <xf numFmtId="3" fontId="48" fillId="33" borderId="1" xfId="0" quotePrefix="1" applyNumberFormat="1" applyFont="1" applyFill="1" applyBorder="1" applyProtection="1"/>
    <xf numFmtId="3" fontId="48" fillId="33" borderId="0" xfId="0" quotePrefix="1" applyNumberFormat="1" applyFont="1" applyFill="1" applyBorder="1" applyProtection="1"/>
    <xf numFmtId="3" fontId="48" fillId="33" borderId="9" xfId="0" quotePrefix="1" applyNumberFormat="1" applyFont="1" applyFill="1" applyBorder="1" applyProtection="1"/>
    <xf numFmtId="3" fontId="47" fillId="33" borderId="1" xfId="0" applyNumberFormat="1" applyFont="1" applyFill="1" applyBorder="1" applyAlignment="1" applyProtection="1">
      <alignment horizontal="right"/>
    </xf>
    <xf numFmtId="3" fontId="47" fillId="33" borderId="0" xfId="0" applyNumberFormat="1" applyFont="1" applyFill="1" applyBorder="1" applyAlignment="1" applyProtection="1">
      <alignment horizontal="right"/>
    </xf>
    <xf numFmtId="3" fontId="47" fillId="33" borderId="9" xfId="0" applyNumberFormat="1" applyFont="1" applyFill="1" applyBorder="1" applyAlignment="1" applyProtection="1">
      <alignment horizontal="right"/>
    </xf>
    <xf numFmtId="3" fontId="47" fillId="33" borderId="12" xfId="0" applyNumberFormat="1" applyFont="1" applyFill="1" applyBorder="1" applyAlignment="1" applyProtection="1">
      <alignment horizontal="right"/>
    </xf>
    <xf numFmtId="3" fontId="47" fillId="33" borderId="10" xfId="0" applyNumberFormat="1" applyFont="1" applyFill="1" applyBorder="1" applyAlignment="1" applyProtection="1">
      <alignment horizontal="right"/>
    </xf>
    <xf numFmtId="3" fontId="47" fillId="33" borderId="11" xfId="0" applyNumberFormat="1" applyFont="1" applyFill="1" applyBorder="1" applyAlignment="1" applyProtection="1">
      <alignment horizontal="right"/>
    </xf>
    <xf numFmtId="0" fontId="86" fillId="0" borderId="0" xfId="333" applyFont="1" applyFill="1" applyBorder="1" applyProtection="1">
      <protection locked="0"/>
    </xf>
    <xf numFmtId="3" fontId="87" fillId="3" borderId="0" xfId="333" applyNumberFormat="1" applyFont="1" applyFill="1" applyBorder="1" applyAlignment="1" applyProtection="1">
      <protection locked="0"/>
    </xf>
    <xf numFmtId="3" fontId="86" fillId="0" borderId="0" xfId="333" applyNumberFormat="1" applyFont="1" applyFill="1" applyBorder="1" applyAlignment="1" applyProtection="1">
      <protection locked="0"/>
    </xf>
    <xf numFmtId="3" fontId="86" fillId="0" borderId="0" xfId="333" applyNumberFormat="1" applyFont="1" applyFill="1" applyBorder="1" applyProtection="1">
      <protection locked="0"/>
    </xf>
    <xf numFmtId="0" fontId="86" fillId="0" borderId="0" xfId="9" applyFont="1" applyFill="1" applyBorder="1" applyProtection="1">
      <protection locked="0"/>
    </xf>
    <xf numFmtId="0" fontId="87" fillId="35" borderId="0" xfId="333" applyFont="1" applyFill="1" applyBorder="1" applyProtection="1"/>
    <xf numFmtId="0" fontId="87" fillId="35" borderId="2" xfId="333" applyFont="1" applyFill="1" applyBorder="1" applyProtection="1"/>
    <xf numFmtId="3" fontId="87" fillId="3" borderId="0" xfId="333" applyNumberFormat="1" applyFont="1" applyFill="1" applyBorder="1" applyProtection="1">
      <protection locked="0"/>
    </xf>
    <xf numFmtId="0" fontId="89" fillId="0" borderId="0" xfId="333" applyFont="1" applyFill="1" applyBorder="1" applyAlignment="1" applyProtection="1">
      <alignment horizontal="left"/>
      <protection locked="0"/>
    </xf>
    <xf numFmtId="3" fontId="87" fillId="3" borderId="158" xfId="333" applyNumberFormat="1" applyFont="1" applyFill="1" applyBorder="1" applyAlignment="1" applyProtection="1">
      <protection locked="0"/>
    </xf>
    <xf numFmtId="3" fontId="48" fillId="3" borderId="7" xfId="333" applyNumberFormat="1" applyFont="1" applyFill="1" applyBorder="1" applyAlignment="1" applyProtection="1">
      <protection locked="0"/>
    </xf>
    <xf numFmtId="3" fontId="87" fillId="3" borderId="158" xfId="333" applyNumberFormat="1" applyFont="1" applyFill="1" applyBorder="1" applyProtection="1">
      <protection locked="0"/>
    </xf>
    <xf numFmtId="3" fontId="88" fillId="33" borderId="25" xfId="333" applyNumberFormat="1" applyFont="1" applyFill="1" applyBorder="1" applyProtection="1"/>
    <xf numFmtId="3" fontId="88" fillId="33" borderId="171" xfId="333" applyNumberFormat="1" applyFont="1" applyFill="1" applyBorder="1" applyProtection="1"/>
    <xf numFmtId="0" fontId="87" fillId="35" borderId="158" xfId="333" applyFont="1" applyFill="1" applyBorder="1" applyProtection="1"/>
    <xf numFmtId="0" fontId="54" fillId="40" borderId="39" xfId="333" applyFont="1" applyFill="1" applyBorder="1" applyAlignment="1" applyProtection="1">
      <alignment horizontal="center"/>
    </xf>
    <xf numFmtId="3" fontId="87" fillId="35" borderId="9" xfId="333" applyNumberFormat="1" applyFont="1" applyFill="1" applyBorder="1" applyProtection="1"/>
    <xf numFmtId="3" fontId="87" fillId="35" borderId="159" xfId="333" applyNumberFormat="1" applyFont="1" applyFill="1" applyBorder="1" applyProtection="1"/>
    <xf numFmtId="3" fontId="87" fillId="35" borderId="23" xfId="333" applyNumberFormat="1" applyFont="1" applyFill="1" applyBorder="1" applyProtection="1"/>
    <xf numFmtId="0" fontId="46" fillId="47" borderId="39" xfId="333" applyFont="1" applyFill="1" applyBorder="1" applyAlignment="1" applyProtection="1">
      <alignment horizontal="center"/>
    </xf>
    <xf numFmtId="0" fontId="46" fillId="47" borderId="28" xfId="333" applyFont="1" applyFill="1" applyBorder="1" applyAlignment="1" applyProtection="1">
      <alignment horizontal="left"/>
    </xf>
    <xf numFmtId="0" fontId="55" fillId="47" borderId="16" xfId="333" applyFont="1" applyFill="1" applyBorder="1" applyAlignment="1" applyProtection="1"/>
    <xf numFmtId="0" fontId="54" fillId="47" borderId="51" xfId="333" applyFont="1" applyFill="1" applyBorder="1" applyAlignment="1" applyProtection="1">
      <alignment horizontal="center"/>
    </xf>
    <xf numFmtId="0" fontId="52" fillId="47" borderId="20" xfId="333" applyFont="1" applyFill="1" applyBorder="1" applyAlignment="1" applyProtection="1">
      <alignment horizontal="left"/>
    </xf>
    <xf numFmtId="0" fontId="47" fillId="47" borderId="26" xfId="333" applyFont="1" applyFill="1" applyBorder="1" applyAlignment="1" applyProtection="1">
      <alignment horizontal="center"/>
    </xf>
    <xf numFmtId="0" fontId="51" fillId="47" borderId="16" xfId="333" applyFont="1" applyFill="1" applyBorder="1" applyAlignment="1" applyProtection="1">
      <alignment horizontal="left"/>
    </xf>
    <xf numFmtId="0" fontId="51" fillId="47" borderId="11" xfId="333" applyFont="1" applyFill="1" applyBorder="1" applyProtection="1"/>
    <xf numFmtId="16" fontId="50" fillId="37" borderId="12" xfId="333" applyNumberFormat="1" applyFont="1" applyFill="1" applyBorder="1" applyProtection="1"/>
    <xf numFmtId="3" fontId="48" fillId="37" borderId="11" xfId="333" applyNumberFormat="1" applyFont="1" applyFill="1" applyBorder="1" applyProtection="1"/>
    <xf numFmtId="3" fontId="47" fillId="37" borderId="52" xfId="9" applyNumberFormat="1" applyFont="1" applyFill="1" applyBorder="1" applyAlignment="1" applyProtection="1">
      <alignment horizontal="right"/>
    </xf>
    <xf numFmtId="3" fontId="47" fillId="6" borderId="33" xfId="9" applyNumberFormat="1" applyFont="1" applyFill="1" applyBorder="1" applyAlignment="1" applyProtection="1">
      <alignment horizontal="right"/>
    </xf>
    <xf numFmtId="3" fontId="47" fillId="30" borderId="26" xfId="333" applyNumberFormat="1" applyFont="1" applyFill="1" applyBorder="1" applyAlignment="1" applyProtection="1">
      <alignment horizontal="right"/>
    </xf>
    <xf numFmtId="0" fontId="51" fillId="42" borderId="11" xfId="333" applyFont="1" applyFill="1" applyBorder="1" applyProtection="1"/>
    <xf numFmtId="0" fontId="47" fillId="30" borderId="20" xfId="333" applyFont="1" applyFill="1" applyBorder="1" applyProtection="1"/>
    <xf numFmtId="3" fontId="48" fillId="30" borderId="11" xfId="333" applyNumberFormat="1" applyFont="1" applyFill="1" applyBorder="1" applyProtection="1"/>
    <xf numFmtId="0" fontId="48" fillId="35" borderId="166" xfId="333" applyNumberFormat="1" applyFont="1" applyFill="1" applyBorder="1" applyProtection="1"/>
    <xf numFmtId="3" fontId="48" fillId="33" borderId="6" xfId="333" applyNumberFormat="1" applyFont="1" applyFill="1" applyBorder="1" applyProtection="1"/>
    <xf numFmtId="3" fontId="48" fillId="33" borderId="164" xfId="333" applyNumberFormat="1" applyFont="1" applyFill="1" applyBorder="1" applyProtection="1"/>
    <xf numFmtId="3" fontId="48" fillId="33" borderId="165" xfId="333" applyNumberFormat="1" applyFont="1" applyFill="1" applyBorder="1" applyProtection="1"/>
    <xf numFmtId="3" fontId="48" fillId="33" borderId="166" xfId="333" applyNumberFormat="1" applyFont="1" applyFill="1" applyBorder="1" applyProtection="1"/>
    <xf numFmtId="3" fontId="87" fillId="33" borderId="1" xfId="333" applyNumberFormat="1" applyFont="1" applyFill="1" applyBorder="1" applyProtection="1"/>
    <xf numFmtId="3" fontId="87" fillId="33" borderId="0" xfId="333" applyNumberFormat="1" applyFont="1" applyFill="1" applyBorder="1" applyProtection="1"/>
    <xf numFmtId="3" fontId="87" fillId="33" borderId="9" xfId="333" applyNumberFormat="1" applyFont="1" applyFill="1" applyBorder="1" applyProtection="1"/>
    <xf numFmtId="3" fontId="87" fillId="33" borderId="22" xfId="333" applyNumberFormat="1" applyFont="1" applyFill="1" applyBorder="1" applyProtection="1"/>
    <xf numFmtId="3" fontId="87" fillId="33" borderId="2" xfId="333" applyNumberFormat="1" applyFont="1" applyFill="1" applyBorder="1" applyProtection="1"/>
    <xf numFmtId="3" fontId="87" fillId="33" borderId="23" xfId="333" applyNumberFormat="1" applyFont="1" applyFill="1" applyBorder="1" applyProtection="1"/>
    <xf numFmtId="0" fontId="52" fillId="2" borderId="47" xfId="333" applyFont="1" applyFill="1" applyBorder="1" applyAlignment="1" applyProtection="1">
      <alignment horizontal="center" vertical="center" wrapText="1"/>
    </xf>
    <xf numFmtId="0" fontId="52" fillId="0" borderId="0" xfId="333" applyFont="1" applyFill="1" applyBorder="1" applyAlignment="1" applyProtection="1">
      <alignment horizontal="center" wrapText="1"/>
    </xf>
    <xf numFmtId="0" fontId="47" fillId="0" borderId="0" xfId="333" applyFont="1" applyFill="1" applyBorder="1" applyAlignment="1" applyProtection="1">
      <alignment vertical="center" wrapText="1"/>
    </xf>
    <xf numFmtId="0" fontId="47" fillId="0" borderId="0" xfId="333" applyFont="1" applyFill="1" applyBorder="1" applyAlignment="1" applyProtection="1">
      <alignment vertical="center"/>
    </xf>
    <xf numFmtId="0" fontId="49" fillId="0" borderId="0" xfId="333" applyFont="1" applyFill="1" applyBorder="1" applyAlignment="1" applyProtection="1">
      <alignment wrapText="1"/>
    </xf>
    <xf numFmtId="167" fontId="52" fillId="3" borderId="183" xfId="333" applyNumberFormat="1" applyFont="1" applyFill="1" applyBorder="1" applyAlignment="1" applyProtection="1">
      <alignment horizontal="center" wrapText="1"/>
      <protection locked="0"/>
    </xf>
    <xf numFmtId="3" fontId="52" fillId="33" borderId="46" xfId="333" applyNumberFormat="1" applyFont="1" applyFill="1" applyBorder="1" applyAlignment="1" applyProtection="1">
      <alignment horizontal="right" wrapText="1"/>
    </xf>
    <xf numFmtId="3" fontId="52" fillId="33" borderId="181" xfId="333" applyNumberFormat="1" applyFont="1" applyFill="1" applyBorder="1" applyAlignment="1" applyProtection="1">
      <alignment horizontal="right" wrapText="1"/>
    </xf>
    <xf numFmtId="3" fontId="52" fillId="33" borderId="182" xfId="333" applyNumberFormat="1" applyFont="1" applyFill="1" applyBorder="1" applyAlignment="1" applyProtection="1">
      <alignment horizontal="right" wrapText="1"/>
    </xf>
    <xf numFmtId="167" fontId="52" fillId="33" borderId="161" xfId="333" applyNumberFormat="1" applyFont="1" applyFill="1" applyBorder="1" applyAlignment="1" applyProtection="1">
      <alignment horizontal="center" vertical="center" wrapText="1"/>
    </xf>
    <xf numFmtId="3" fontId="52" fillId="33" borderId="65" xfId="333" applyNumberFormat="1" applyFont="1" applyFill="1" applyBorder="1" applyAlignment="1" applyProtection="1">
      <alignment horizontal="right" wrapText="1"/>
    </xf>
    <xf numFmtId="3" fontId="52" fillId="33" borderId="50" xfId="333" applyNumberFormat="1" applyFont="1" applyFill="1" applyBorder="1" applyAlignment="1" applyProtection="1">
      <alignment horizontal="right" wrapText="1"/>
    </xf>
    <xf numFmtId="3" fontId="52" fillId="33" borderId="56" xfId="333" applyNumberFormat="1" applyFont="1" applyFill="1" applyBorder="1" applyAlignment="1" applyProtection="1">
      <alignment horizontal="right" wrapText="1"/>
    </xf>
    <xf numFmtId="3" fontId="52" fillId="33" borderId="175" xfId="333" applyNumberFormat="1" applyFont="1" applyFill="1" applyBorder="1" applyAlignment="1" applyProtection="1">
      <alignment horizontal="right" wrapText="1"/>
    </xf>
    <xf numFmtId="0" fontId="49" fillId="0" borderId="0" xfId="333" applyFont="1" applyFill="1" applyBorder="1" applyAlignment="1" applyProtection="1">
      <alignment horizontal="left" wrapText="1"/>
    </xf>
    <xf numFmtId="3" fontId="52" fillId="33" borderId="59" xfId="333" applyNumberFormat="1" applyFont="1" applyFill="1" applyBorder="1" applyAlignment="1" applyProtection="1">
      <alignment horizontal="right" wrapText="1"/>
    </xf>
    <xf numFmtId="3" fontId="52" fillId="33" borderId="52" xfId="333" applyNumberFormat="1" applyFont="1" applyFill="1" applyBorder="1" applyAlignment="1" applyProtection="1">
      <alignment horizontal="right" wrapText="1"/>
    </xf>
    <xf numFmtId="3" fontId="52" fillId="33" borderId="75" xfId="333" applyNumberFormat="1" applyFont="1" applyFill="1" applyBorder="1" applyAlignment="1" applyProtection="1">
      <alignment horizontal="right" wrapText="1"/>
    </xf>
    <xf numFmtId="3" fontId="52" fillId="33" borderId="57" xfId="333" applyNumberFormat="1" applyFont="1" applyFill="1" applyBorder="1" applyAlignment="1" applyProtection="1">
      <alignment horizontal="right" wrapText="1"/>
    </xf>
    <xf numFmtId="3" fontId="52" fillId="33" borderId="32" xfId="333" applyNumberFormat="1" applyFont="1" applyFill="1" applyBorder="1" applyAlignment="1" applyProtection="1">
      <alignment horizontal="right" wrapText="1"/>
    </xf>
    <xf numFmtId="0" fontId="49" fillId="2" borderId="44" xfId="333" applyFont="1" applyFill="1" applyBorder="1" applyAlignment="1" applyProtection="1">
      <alignment horizontal="center" vertical="center" wrapText="1"/>
    </xf>
    <xf numFmtId="0" fontId="49" fillId="2" borderId="45" xfId="333" applyFont="1" applyFill="1" applyBorder="1" applyAlignment="1" applyProtection="1">
      <alignment horizontal="center" vertical="center" wrapText="1"/>
    </xf>
    <xf numFmtId="0" fontId="49" fillId="2" borderId="26" xfId="333" applyFont="1" applyFill="1" applyBorder="1" applyAlignment="1" applyProtection="1">
      <alignment horizontal="center" vertical="center" wrapText="1"/>
    </xf>
    <xf numFmtId="0" fontId="49" fillId="0" borderId="0" xfId="333" applyFont="1" applyFill="1" applyBorder="1" applyAlignment="1" applyProtection="1">
      <alignment horizontal="left"/>
    </xf>
    <xf numFmtId="0" fontId="52" fillId="2" borderId="78" xfId="333" applyFont="1" applyFill="1" applyBorder="1" applyAlignment="1" applyProtection="1">
      <alignment horizontal="right" wrapText="1"/>
    </xf>
    <xf numFmtId="3" fontId="52" fillId="32" borderId="57" xfId="333" applyNumberFormat="1" applyFont="1" applyFill="1" applyBorder="1" applyAlignment="1" applyProtection="1">
      <alignment horizontal="right" wrapText="1"/>
      <protection locked="0"/>
    </xf>
    <xf numFmtId="3" fontId="52" fillId="33" borderId="57" xfId="333" applyNumberFormat="1" applyFont="1" applyFill="1" applyBorder="1" applyAlignment="1" applyProtection="1">
      <alignment horizontal="right" vertical="center" wrapText="1"/>
    </xf>
    <xf numFmtId="3" fontId="52" fillId="33" borderId="32" xfId="333" applyNumberFormat="1" applyFont="1" applyFill="1" applyBorder="1" applyAlignment="1" applyProtection="1">
      <alignment horizontal="right" vertical="center" wrapText="1"/>
    </xf>
    <xf numFmtId="3" fontId="52" fillId="33" borderId="45" xfId="333" applyNumberFormat="1" applyFont="1" applyFill="1" applyBorder="1" applyAlignment="1" applyProtection="1">
      <alignment horizontal="right" vertical="center" wrapText="1"/>
    </xf>
    <xf numFmtId="3" fontId="52" fillId="33" borderId="26" xfId="333" applyNumberFormat="1" applyFont="1" applyFill="1" applyBorder="1" applyAlignment="1" applyProtection="1">
      <alignment horizontal="right" vertical="center" wrapText="1"/>
    </xf>
    <xf numFmtId="3" fontId="52" fillId="32" borderId="186" xfId="333" applyNumberFormat="1" applyFont="1" applyFill="1" applyBorder="1" applyAlignment="1" applyProtection="1">
      <alignment horizontal="right" wrapText="1"/>
      <protection locked="0"/>
    </xf>
    <xf numFmtId="3" fontId="52" fillId="33" borderId="186" xfId="333" applyNumberFormat="1" applyFont="1" applyFill="1" applyBorder="1" applyAlignment="1" applyProtection="1">
      <alignment horizontal="right" vertical="center" wrapText="1"/>
    </xf>
    <xf numFmtId="3" fontId="52" fillId="33" borderId="187" xfId="333" applyNumberFormat="1" applyFont="1" applyFill="1" applyBorder="1" applyAlignment="1" applyProtection="1">
      <alignment horizontal="right" vertical="center" wrapText="1"/>
    </xf>
    <xf numFmtId="0" fontId="67" fillId="0" borderId="0" xfId="333" applyFont="1" applyFill="1" applyBorder="1" applyAlignment="1" applyProtection="1">
      <alignment horizontal="left"/>
    </xf>
    <xf numFmtId="0" fontId="49" fillId="2" borderId="15" xfId="333" applyFont="1" applyFill="1" applyBorder="1" applyAlignment="1" applyProtection="1">
      <alignment horizontal="right" vertical="center" wrapText="1"/>
    </xf>
    <xf numFmtId="0" fontId="49" fillId="2" borderId="46" xfId="333" applyFont="1" applyFill="1" applyBorder="1" applyAlignment="1" applyProtection="1">
      <alignment horizontal="center" vertical="center" wrapText="1"/>
    </xf>
    <xf numFmtId="0" fontId="49" fillId="2" borderId="61" xfId="333" applyFont="1" applyFill="1" applyBorder="1" applyAlignment="1" applyProtection="1">
      <alignment horizontal="center" vertical="center" wrapText="1"/>
    </xf>
    <xf numFmtId="0" fontId="49" fillId="2" borderId="33" xfId="333" applyFont="1" applyFill="1" applyBorder="1" applyAlignment="1" applyProtection="1">
      <alignment horizontal="center" vertical="center" wrapText="1"/>
    </xf>
    <xf numFmtId="0" fontId="49" fillId="2" borderId="19" xfId="333" applyFont="1" applyFill="1" applyBorder="1" applyAlignment="1" applyProtection="1">
      <alignment horizontal="right" vertical="center" wrapText="1"/>
    </xf>
    <xf numFmtId="180" fontId="52" fillId="33" borderId="181" xfId="333" applyNumberFormat="1" applyFont="1" applyFill="1" applyBorder="1" applyAlignment="1" applyProtection="1">
      <alignment horizontal="right" wrapText="1"/>
    </xf>
    <xf numFmtId="180" fontId="52" fillId="33" borderId="186" xfId="333" applyNumberFormat="1" applyFont="1" applyFill="1" applyBorder="1" applyAlignment="1" applyProtection="1">
      <alignment horizontal="right" wrapText="1"/>
    </xf>
    <xf numFmtId="180" fontId="52" fillId="33" borderId="182" xfId="333" applyNumberFormat="1" applyFont="1" applyFill="1" applyBorder="1" applyAlignment="1" applyProtection="1">
      <alignment horizontal="right" wrapText="1"/>
    </xf>
    <xf numFmtId="180" fontId="52" fillId="33" borderId="189" xfId="333" applyNumberFormat="1" applyFont="1" applyFill="1" applyBorder="1" applyAlignment="1" applyProtection="1">
      <alignment horizontal="right" wrapText="1"/>
    </xf>
    <xf numFmtId="180" fontId="52" fillId="33" borderId="46" xfId="333" applyNumberFormat="1" applyFont="1" applyFill="1" applyBorder="1" applyAlignment="1" applyProtection="1">
      <alignment horizontal="right" wrapText="1"/>
    </xf>
    <xf numFmtId="180" fontId="52" fillId="33" borderId="61" xfId="333" applyNumberFormat="1" applyFont="1" applyFill="1" applyBorder="1" applyAlignment="1" applyProtection="1">
      <alignment horizontal="right" wrapText="1"/>
    </xf>
    <xf numFmtId="180" fontId="52" fillId="33" borderId="62" xfId="333" applyNumberFormat="1" applyFont="1" applyFill="1" applyBorder="1" applyAlignment="1" applyProtection="1">
      <alignment horizontal="right" wrapText="1"/>
    </xf>
    <xf numFmtId="180" fontId="52" fillId="33" borderId="34" xfId="333" applyNumberFormat="1" applyFont="1" applyFill="1" applyBorder="1" applyAlignment="1" applyProtection="1">
      <alignment horizontal="right" wrapText="1"/>
    </xf>
    <xf numFmtId="180" fontId="52" fillId="33" borderId="185" xfId="333" applyNumberFormat="1" applyFont="1" applyFill="1" applyBorder="1" applyAlignment="1" applyProtection="1">
      <alignment horizontal="right" wrapText="1"/>
    </xf>
    <xf numFmtId="180" fontId="52" fillId="33" borderId="35" xfId="333" applyNumberFormat="1" applyFont="1" applyFill="1" applyBorder="1" applyAlignment="1" applyProtection="1">
      <alignment horizontal="right" wrapText="1"/>
    </xf>
    <xf numFmtId="0" fontId="48" fillId="35" borderId="42" xfId="333" applyFont="1" applyFill="1" applyBorder="1" applyProtection="1"/>
    <xf numFmtId="0" fontId="48" fillId="35" borderId="190" xfId="333" applyFont="1" applyFill="1" applyBorder="1" applyProtection="1"/>
    <xf numFmtId="3" fontId="47" fillId="33" borderId="187" xfId="333" applyNumberFormat="1" applyFont="1" applyFill="1" applyBorder="1" applyProtection="1"/>
    <xf numFmtId="0" fontId="48" fillId="35" borderId="183" xfId="333" applyFont="1" applyFill="1" applyBorder="1" applyProtection="1"/>
    <xf numFmtId="3" fontId="48" fillId="35" borderId="180" xfId="333" applyNumberFormat="1" applyFont="1" applyFill="1" applyBorder="1" applyProtection="1"/>
    <xf numFmtId="3" fontId="48" fillId="3" borderId="183" xfId="333" applyNumberFormat="1" applyFont="1" applyFill="1" applyBorder="1" applyAlignment="1" applyProtection="1">
      <protection locked="0"/>
    </xf>
    <xf numFmtId="3" fontId="48" fillId="3" borderId="183" xfId="333" applyNumberFormat="1" applyFont="1" applyFill="1" applyBorder="1" applyProtection="1">
      <protection locked="0"/>
    </xf>
    <xf numFmtId="167" fontId="52" fillId="3" borderId="55" xfId="333" applyNumberFormat="1" applyFont="1" applyFill="1" applyBorder="1" applyAlignment="1" applyProtection="1">
      <alignment horizontal="center" wrapText="1"/>
      <protection locked="0"/>
    </xf>
    <xf numFmtId="0" fontId="48" fillId="35" borderId="4" xfId="333" applyNumberFormat="1" applyFont="1" applyFill="1" applyBorder="1" applyProtection="1"/>
    <xf numFmtId="0" fontId="48" fillId="35" borderId="0" xfId="333" applyNumberFormat="1" applyFont="1" applyFill="1" applyBorder="1" applyProtection="1"/>
    <xf numFmtId="0" fontId="48" fillId="35" borderId="183" xfId="333" applyNumberFormat="1" applyFont="1" applyFill="1" applyBorder="1" applyProtection="1"/>
    <xf numFmtId="0" fontId="48" fillId="35" borderId="180" xfId="333" applyNumberFormat="1" applyFont="1" applyFill="1" applyBorder="1" applyProtection="1"/>
    <xf numFmtId="0" fontId="48" fillId="35" borderId="158" xfId="333" applyNumberFormat="1" applyFont="1" applyFill="1" applyBorder="1" applyProtection="1"/>
    <xf numFmtId="3" fontId="48" fillId="35" borderId="159" xfId="333" applyNumberFormat="1" applyFont="1" applyFill="1" applyBorder="1" applyProtection="1"/>
    <xf numFmtId="3" fontId="47" fillId="33" borderId="171" xfId="333" applyNumberFormat="1" applyFont="1" applyFill="1" applyBorder="1" applyProtection="1"/>
    <xf numFmtId="0" fontId="50" fillId="35" borderId="1" xfId="333" applyNumberFormat="1" applyFont="1" applyFill="1" applyBorder="1" applyProtection="1"/>
    <xf numFmtId="16" fontId="50" fillId="35" borderId="1" xfId="333" quotePrefix="1" applyNumberFormat="1" applyFont="1" applyFill="1" applyBorder="1" applyProtection="1"/>
    <xf numFmtId="16" fontId="50" fillId="35" borderId="1" xfId="333" applyNumberFormat="1" applyFont="1" applyFill="1" applyBorder="1" applyProtection="1"/>
    <xf numFmtId="0" fontId="54" fillId="7" borderId="28" xfId="333" applyFont="1" applyFill="1" applyBorder="1" applyAlignment="1" applyProtection="1">
      <alignment horizontal="left"/>
    </xf>
    <xf numFmtId="0" fontId="50" fillId="0" borderId="7" xfId="9" applyFont="1" applyFill="1" applyBorder="1" applyProtection="1">
      <protection locked="0"/>
    </xf>
    <xf numFmtId="0" fontId="51" fillId="40" borderId="159" xfId="333" applyFont="1" applyFill="1" applyBorder="1" applyProtection="1"/>
    <xf numFmtId="0" fontId="51" fillId="7" borderId="159" xfId="333" applyFont="1" applyFill="1" applyBorder="1" applyProtection="1"/>
    <xf numFmtId="16" fontId="50" fillId="35" borderId="160" xfId="333" quotePrefix="1" applyNumberFormat="1" applyFont="1" applyFill="1" applyBorder="1" applyProtection="1"/>
    <xf numFmtId="16" fontId="50" fillId="35" borderId="160" xfId="333" applyNumberFormat="1" applyFont="1" applyFill="1" applyBorder="1" applyProtection="1"/>
    <xf numFmtId="0" fontId="50" fillId="30" borderId="191" xfId="9" applyFont="1" applyFill="1" applyBorder="1" applyProtection="1">
      <protection locked="0"/>
    </xf>
    <xf numFmtId="0" fontId="50" fillId="30" borderId="192" xfId="9" applyFont="1" applyFill="1" applyBorder="1" applyProtection="1">
      <protection locked="0"/>
    </xf>
    <xf numFmtId="0" fontId="50" fillId="30" borderId="193" xfId="9" applyFont="1" applyFill="1" applyBorder="1" applyProtection="1">
      <protection locked="0"/>
    </xf>
    <xf numFmtId="0" fontId="47" fillId="30" borderId="0" xfId="333" applyFont="1" applyFill="1" applyBorder="1" applyAlignment="1" applyProtection="1">
      <alignment vertical="center"/>
      <protection locked="0"/>
    </xf>
    <xf numFmtId="3" fontId="50" fillId="30" borderId="0" xfId="333" applyNumberFormat="1" applyFont="1" applyFill="1" applyBorder="1" applyProtection="1">
      <protection locked="0"/>
    </xf>
    <xf numFmtId="3" fontId="51" fillId="30" borderId="0" xfId="333" applyNumberFormat="1" applyFont="1" applyFill="1" applyBorder="1" applyProtection="1">
      <protection locked="0"/>
    </xf>
    <xf numFmtId="0" fontId="50" fillId="30" borderId="0" xfId="333" applyFont="1" applyFill="1" applyBorder="1" applyProtection="1">
      <protection locked="0"/>
    </xf>
    <xf numFmtId="3" fontId="50" fillId="30" borderId="195" xfId="333" applyNumberFormat="1" applyFont="1" applyFill="1" applyBorder="1" applyProtection="1">
      <protection locked="0"/>
    </xf>
    <xf numFmtId="0" fontId="47" fillId="30" borderId="195" xfId="333" applyFont="1" applyFill="1" applyBorder="1" applyAlignment="1" applyProtection="1">
      <alignment vertical="center"/>
      <protection locked="0"/>
    </xf>
    <xf numFmtId="3" fontId="51" fillId="30" borderId="195" xfId="333" applyNumberFormat="1" applyFont="1" applyFill="1" applyBorder="1" applyProtection="1">
      <protection locked="0"/>
    </xf>
    <xf numFmtId="0" fontId="50" fillId="30" borderId="195" xfId="333" applyFont="1" applyFill="1" applyBorder="1" applyProtection="1">
      <protection locked="0"/>
    </xf>
    <xf numFmtId="3" fontId="50" fillId="30" borderId="195" xfId="333" applyNumberFormat="1" applyFont="1" applyFill="1" applyBorder="1" applyAlignment="1" applyProtection="1">
      <protection locked="0"/>
    </xf>
    <xf numFmtId="0" fontId="50" fillId="30" borderId="194" xfId="333" applyFont="1" applyFill="1" applyBorder="1" applyProtection="1">
      <protection locked="0"/>
    </xf>
    <xf numFmtId="16" fontId="50" fillId="30" borderId="0" xfId="333" quotePrefix="1" applyNumberFormat="1" applyFont="1" applyFill="1" applyBorder="1" applyProtection="1">
      <protection locked="0"/>
    </xf>
    <xf numFmtId="16" fontId="50" fillId="30" borderId="0" xfId="333" applyNumberFormat="1" applyFont="1" applyFill="1" applyBorder="1" applyProtection="1">
      <protection locked="0"/>
    </xf>
    <xf numFmtId="0" fontId="51" fillId="30" borderId="0" xfId="333" applyFont="1" applyFill="1" applyBorder="1" applyProtection="1">
      <protection locked="0"/>
    </xf>
    <xf numFmtId="0" fontId="50" fillId="30" borderId="197" xfId="333" applyFont="1" applyFill="1" applyBorder="1" applyProtection="1">
      <protection locked="0"/>
    </xf>
    <xf numFmtId="0" fontId="50" fillId="30" borderId="196" xfId="333" applyFont="1" applyFill="1" applyBorder="1" applyProtection="1">
      <protection locked="0"/>
    </xf>
    <xf numFmtId="16" fontId="50" fillId="30" borderId="0" xfId="333" quotePrefix="1" applyNumberFormat="1" applyFont="1" applyFill="1" applyBorder="1" applyAlignment="1" applyProtection="1">
      <protection locked="0"/>
    </xf>
    <xf numFmtId="0" fontId="50" fillId="38" borderId="198" xfId="333" applyFont="1" applyFill="1" applyBorder="1" applyProtection="1">
      <protection locked="0"/>
    </xf>
    <xf numFmtId="0" fontId="50" fillId="38" borderId="199" xfId="333" applyFont="1" applyFill="1" applyBorder="1" applyProtection="1">
      <protection locked="0"/>
    </xf>
    <xf numFmtId="0" fontId="50" fillId="38" borderId="200" xfId="333" applyFont="1" applyFill="1" applyBorder="1" applyProtection="1">
      <protection locked="0"/>
    </xf>
    <xf numFmtId="0" fontId="50" fillId="38" borderId="202" xfId="333" applyFont="1" applyFill="1" applyBorder="1" applyProtection="1">
      <protection locked="0"/>
    </xf>
    <xf numFmtId="16" fontId="50" fillId="38" borderId="0" xfId="333" quotePrefix="1" applyNumberFormat="1" applyFont="1" applyFill="1" applyBorder="1" applyProtection="1">
      <protection locked="0"/>
    </xf>
    <xf numFmtId="0" fontId="50" fillId="38" borderId="0" xfId="333" applyFont="1" applyFill="1" applyBorder="1" applyProtection="1">
      <protection locked="0"/>
    </xf>
    <xf numFmtId="3" fontId="50" fillId="38" borderId="0" xfId="333" applyNumberFormat="1" applyFont="1" applyFill="1" applyBorder="1" applyProtection="1">
      <protection locked="0"/>
    </xf>
    <xf numFmtId="0" fontId="50" fillId="38" borderId="201" xfId="333" applyFont="1" applyFill="1" applyBorder="1" applyProtection="1">
      <protection locked="0"/>
    </xf>
    <xf numFmtId="16" fontId="50" fillId="38" borderId="0" xfId="333" applyNumberFormat="1" applyFont="1" applyFill="1" applyBorder="1" applyProtection="1">
      <protection locked="0"/>
    </xf>
    <xf numFmtId="0" fontId="51" fillId="38" borderId="0" xfId="333" applyFont="1" applyFill="1" applyBorder="1" applyProtection="1">
      <protection locked="0"/>
    </xf>
    <xf numFmtId="3" fontId="51" fillId="38" borderId="0" xfId="333" applyNumberFormat="1" applyFont="1" applyFill="1" applyBorder="1" applyProtection="1">
      <protection locked="0"/>
    </xf>
    <xf numFmtId="0" fontId="50" fillId="31" borderId="205" xfId="333" applyFont="1" applyFill="1" applyBorder="1" applyProtection="1">
      <protection locked="0"/>
    </xf>
    <xf numFmtId="0" fontId="50" fillId="31" borderId="207" xfId="333" applyFont="1" applyFill="1" applyBorder="1" applyProtection="1">
      <protection locked="0"/>
    </xf>
    <xf numFmtId="0" fontId="50" fillId="31" borderId="203" xfId="333" applyFont="1" applyFill="1" applyBorder="1" applyProtection="1">
      <protection locked="0"/>
    </xf>
    <xf numFmtId="16" fontId="50" fillId="31" borderId="204" xfId="333" applyNumberFormat="1" applyFont="1" applyFill="1" applyBorder="1" applyProtection="1">
      <protection locked="0"/>
    </xf>
    <xf numFmtId="0" fontId="51" fillId="31" borderId="204" xfId="333" applyFont="1" applyFill="1" applyBorder="1" applyProtection="1">
      <protection locked="0"/>
    </xf>
    <xf numFmtId="3" fontId="50" fillId="31" borderId="204" xfId="333" applyNumberFormat="1" applyFont="1" applyFill="1" applyBorder="1" applyProtection="1">
      <protection locked="0"/>
    </xf>
    <xf numFmtId="3" fontId="51" fillId="31" borderId="204" xfId="333" applyNumberFormat="1" applyFont="1" applyFill="1" applyBorder="1" applyProtection="1">
      <protection locked="0"/>
    </xf>
    <xf numFmtId="0" fontId="50" fillId="31" borderId="206" xfId="333" applyFont="1" applyFill="1" applyBorder="1" applyProtection="1">
      <protection locked="0"/>
    </xf>
    <xf numFmtId="16" fontId="50" fillId="31" borderId="0" xfId="333" quotePrefix="1" applyNumberFormat="1" applyFont="1" applyFill="1" applyBorder="1" applyProtection="1">
      <protection locked="0"/>
    </xf>
    <xf numFmtId="0" fontId="50" fillId="31" borderId="0" xfId="333" applyFont="1" applyFill="1" applyBorder="1" applyProtection="1">
      <protection locked="0"/>
    </xf>
    <xf numFmtId="3" fontId="50" fillId="31" borderId="0" xfId="333" applyNumberFormat="1" applyFont="1" applyFill="1" applyBorder="1" applyProtection="1">
      <protection locked="0"/>
    </xf>
    <xf numFmtId="16" fontId="50" fillId="31" borderId="0" xfId="333" applyNumberFormat="1" applyFont="1" applyFill="1" applyBorder="1" applyProtection="1">
      <protection locked="0"/>
    </xf>
    <xf numFmtId="0" fontId="51" fillId="31" borderId="0" xfId="333" applyFont="1" applyFill="1" applyBorder="1" applyProtection="1">
      <protection locked="0"/>
    </xf>
    <xf numFmtId="3" fontId="51" fillId="31" borderId="0" xfId="333" applyNumberFormat="1" applyFont="1" applyFill="1" applyBorder="1" applyProtection="1">
      <protection locked="0"/>
    </xf>
    <xf numFmtId="0" fontId="50" fillId="44" borderId="208" xfId="333" applyFont="1" applyFill="1" applyBorder="1" applyProtection="1">
      <protection locked="0"/>
    </xf>
    <xf numFmtId="16" fontId="50" fillId="44" borderId="209" xfId="333" applyNumberFormat="1" applyFont="1" applyFill="1" applyBorder="1" applyProtection="1">
      <protection locked="0"/>
    </xf>
    <xf numFmtId="0" fontId="51" fillId="44" borderId="209" xfId="333" applyFont="1" applyFill="1" applyBorder="1" applyProtection="1">
      <protection locked="0"/>
    </xf>
    <xf numFmtId="3" fontId="50" fillId="44" borderId="209" xfId="333" applyNumberFormat="1" applyFont="1" applyFill="1" applyBorder="1" applyProtection="1">
      <protection locked="0"/>
    </xf>
    <xf numFmtId="3" fontId="51" fillId="44" borderId="209" xfId="333" applyNumberFormat="1" applyFont="1" applyFill="1" applyBorder="1" applyProtection="1">
      <protection locked="0"/>
    </xf>
    <xf numFmtId="0" fontId="50" fillId="44" borderId="210" xfId="333" applyFont="1" applyFill="1" applyBorder="1" applyProtection="1">
      <protection locked="0"/>
    </xf>
    <xf numFmtId="0" fontId="50" fillId="44" borderId="212" xfId="333" applyFont="1" applyFill="1" applyBorder="1" applyProtection="1">
      <protection locked="0"/>
    </xf>
    <xf numFmtId="0" fontId="50" fillId="44" borderId="211" xfId="333" applyFont="1" applyFill="1" applyBorder="1" applyProtection="1">
      <protection locked="0"/>
    </xf>
    <xf numFmtId="16" fontId="50" fillId="44" borderId="0" xfId="333" quotePrefix="1" applyNumberFormat="1" applyFont="1" applyFill="1" applyBorder="1" applyProtection="1">
      <protection locked="0"/>
    </xf>
    <xf numFmtId="0" fontId="50" fillId="44" borderId="0" xfId="333" applyFont="1" applyFill="1" applyBorder="1" applyProtection="1">
      <protection locked="0"/>
    </xf>
    <xf numFmtId="3" fontId="50" fillId="44" borderId="0" xfId="333" applyNumberFormat="1" applyFont="1" applyFill="1" applyBorder="1" applyProtection="1">
      <protection locked="0"/>
    </xf>
    <xf numFmtId="16" fontId="50" fillId="44" borderId="0" xfId="333" applyNumberFormat="1" applyFont="1" applyFill="1" applyBorder="1" applyProtection="1">
      <protection locked="0"/>
    </xf>
    <xf numFmtId="0" fontId="51" fillId="44" borderId="0" xfId="333" applyFont="1" applyFill="1" applyBorder="1" applyProtection="1">
      <protection locked="0"/>
    </xf>
    <xf numFmtId="3" fontId="51" fillId="44" borderId="0" xfId="333" applyNumberFormat="1" applyFont="1" applyFill="1" applyBorder="1" applyProtection="1">
      <protection locked="0"/>
    </xf>
    <xf numFmtId="0" fontId="90" fillId="34" borderId="213" xfId="333" applyFont="1" applyFill="1" applyBorder="1" applyProtection="1">
      <protection locked="0"/>
    </xf>
    <xf numFmtId="16" fontId="90" fillId="34" borderId="214" xfId="333" applyNumberFormat="1" applyFont="1" applyFill="1" applyBorder="1" applyProtection="1">
      <protection locked="0"/>
    </xf>
    <xf numFmtId="0" fontId="91" fillId="34" borderId="214" xfId="333" applyFont="1" applyFill="1" applyBorder="1" applyProtection="1">
      <protection locked="0"/>
    </xf>
    <xf numFmtId="3" fontId="90" fillId="34" borderId="214" xfId="333" applyNumberFormat="1" applyFont="1" applyFill="1" applyBorder="1" applyProtection="1">
      <protection locked="0"/>
    </xf>
    <xf numFmtId="3" fontId="91" fillId="34" borderId="214" xfId="333" applyNumberFormat="1" applyFont="1" applyFill="1" applyBorder="1" applyProtection="1">
      <protection locked="0"/>
    </xf>
    <xf numFmtId="0" fontId="90" fillId="34" borderId="215" xfId="333" applyFont="1" applyFill="1" applyBorder="1" applyProtection="1">
      <protection locked="0"/>
    </xf>
    <xf numFmtId="0" fontId="50" fillId="34" borderId="217" xfId="333" applyFont="1" applyFill="1" applyBorder="1" applyProtection="1">
      <protection locked="0"/>
    </xf>
    <xf numFmtId="0" fontId="50" fillId="34" borderId="216" xfId="333" applyFont="1" applyFill="1" applyBorder="1" applyProtection="1">
      <protection locked="0"/>
    </xf>
    <xf numFmtId="16" fontId="50" fillId="34" borderId="0" xfId="333" quotePrefix="1" applyNumberFormat="1" applyFont="1" applyFill="1" applyBorder="1" applyProtection="1">
      <protection locked="0"/>
    </xf>
    <xf numFmtId="0" fontId="50" fillId="34" borderId="0" xfId="333" applyFont="1" applyFill="1" applyBorder="1" applyProtection="1">
      <protection locked="0"/>
    </xf>
    <xf numFmtId="3" fontId="50" fillId="34" borderId="0" xfId="333" applyNumberFormat="1" applyFont="1" applyFill="1" applyBorder="1" applyProtection="1">
      <protection locked="0"/>
    </xf>
    <xf numFmtId="16" fontId="50" fillId="34" borderId="0" xfId="333" applyNumberFormat="1" applyFont="1" applyFill="1" applyBorder="1" applyProtection="1">
      <protection locked="0"/>
    </xf>
    <xf numFmtId="0" fontId="51" fillId="34" borderId="0" xfId="333" applyFont="1" applyFill="1" applyBorder="1" applyProtection="1">
      <protection locked="0"/>
    </xf>
    <xf numFmtId="3" fontId="51" fillId="34" borderId="0" xfId="333" applyNumberFormat="1" applyFont="1" applyFill="1" applyBorder="1" applyProtection="1">
      <protection locked="0"/>
    </xf>
    <xf numFmtId="0" fontId="50" fillId="48" borderId="218" xfId="333" applyFont="1" applyFill="1" applyBorder="1" applyProtection="1">
      <protection locked="0"/>
    </xf>
    <xf numFmtId="16" fontId="50" fillId="48" borderId="219" xfId="333" applyNumberFormat="1" applyFont="1" applyFill="1" applyBorder="1" applyProtection="1">
      <protection locked="0"/>
    </xf>
    <xf numFmtId="0" fontId="51" fillId="48" borderId="219" xfId="333" applyFont="1" applyFill="1" applyBorder="1" applyProtection="1">
      <protection locked="0"/>
    </xf>
    <xf numFmtId="3" fontId="50" fillId="48" borderId="219" xfId="333" applyNumberFormat="1" applyFont="1" applyFill="1" applyBorder="1" applyProtection="1">
      <protection locked="0"/>
    </xf>
    <xf numFmtId="3" fontId="51" fillId="48" borderId="219" xfId="333" applyNumberFormat="1" applyFont="1" applyFill="1" applyBorder="1" applyProtection="1">
      <protection locked="0"/>
    </xf>
    <xf numFmtId="0" fontId="50" fillId="48" borderId="220" xfId="333" applyFont="1" applyFill="1" applyBorder="1" applyProtection="1">
      <protection locked="0"/>
    </xf>
    <xf numFmtId="0" fontId="50" fillId="48" borderId="222" xfId="333" applyFont="1" applyFill="1" applyBorder="1" applyProtection="1">
      <protection locked="0"/>
    </xf>
    <xf numFmtId="0" fontId="50" fillId="48" borderId="225" xfId="333" applyFont="1" applyFill="1" applyBorder="1" applyProtection="1">
      <protection locked="0"/>
    </xf>
    <xf numFmtId="0" fontId="50" fillId="48" borderId="221" xfId="333" applyFont="1" applyFill="1" applyBorder="1" applyProtection="1">
      <protection locked="0"/>
    </xf>
    <xf numFmtId="16" fontId="50" fillId="48" borderId="0" xfId="333" quotePrefix="1" applyNumberFormat="1" applyFont="1" applyFill="1" applyBorder="1" applyProtection="1">
      <protection locked="0"/>
    </xf>
    <xf numFmtId="0" fontId="50" fillId="48" borderId="0" xfId="333" applyFont="1" applyFill="1" applyBorder="1" applyProtection="1">
      <protection locked="0"/>
    </xf>
    <xf numFmtId="3" fontId="50" fillId="48" borderId="0" xfId="333" applyNumberFormat="1" applyFont="1" applyFill="1" applyBorder="1" applyProtection="1">
      <protection locked="0"/>
    </xf>
    <xf numFmtId="16" fontId="50" fillId="48" borderId="0" xfId="333" applyNumberFormat="1" applyFont="1" applyFill="1" applyBorder="1" applyProtection="1">
      <protection locked="0"/>
    </xf>
    <xf numFmtId="0" fontId="51" fillId="48" borderId="0" xfId="333" applyFont="1" applyFill="1" applyBorder="1" applyProtection="1">
      <protection locked="0"/>
    </xf>
    <xf numFmtId="3" fontId="51" fillId="48" borderId="0" xfId="333" applyNumberFormat="1" applyFont="1" applyFill="1" applyBorder="1" applyProtection="1">
      <protection locked="0"/>
    </xf>
    <xf numFmtId="0" fontId="50" fillId="48" borderId="223" xfId="333" applyFont="1" applyFill="1" applyBorder="1" applyProtection="1">
      <protection locked="0"/>
    </xf>
    <xf numFmtId="16" fontId="50" fillId="48" borderId="224" xfId="333" applyNumberFormat="1" applyFont="1" applyFill="1" applyBorder="1" applyProtection="1">
      <protection locked="0"/>
    </xf>
    <xf numFmtId="0" fontId="51" fillId="48" borderId="224" xfId="333" applyFont="1" applyFill="1" applyBorder="1" applyProtection="1">
      <protection locked="0"/>
    </xf>
    <xf numFmtId="3" fontId="50" fillId="48" borderId="224" xfId="333" applyNumberFormat="1" applyFont="1" applyFill="1" applyBorder="1" applyProtection="1">
      <protection locked="0"/>
    </xf>
    <xf numFmtId="3" fontId="48" fillId="4" borderId="15" xfId="333" applyNumberFormat="1" applyFont="1" applyFill="1" applyBorder="1" applyAlignment="1" applyProtection="1">
      <alignment horizontal="center"/>
      <protection hidden="1"/>
    </xf>
    <xf numFmtId="170" fontId="48" fillId="5" borderId="12" xfId="333" applyNumberFormat="1" applyFont="1" applyFill="1" applyBorder="1" applyAlignment="1" applyProtection="1">
      <alignment horizontal="center"/>
      <protection locked="0"/>
    </xf>
    <xf numFmtId="0" fontId="46" fillId="45" borderId="28" xfId="333" applyFont="1" applyFill="1" applyBorder="1" applyAlignment="1" applyProtection="1">
      <alignment horizontal="left"/>
    </xf>
    <xf numFmtId="0" fontId="50" fillId="35" borderId="15" xfId="333" applyNumberFormat="1" applyFont="1" applyFill="1" applyBorder="1" applyProtection="1"/>
    <xf numFmtId="16" fontId="50" fillId="35" borderId="12" xfId="333" quotePrefix="1" applyNumberFormat="1" applyFont="1" applyFill="1" applyBorder="1" applyAlignment="1" applyProtection="1">
      <alignment horizontal="center"/>
    </xf>
    <xf numFmtId="169" fontId="48" fillId="0" borderId="26" xfId="333" applyNumberFormat="1" applyFont="1" applyFill="1" applyBorder="1" applyAlignment="1" applyProtection="1">
      <alignment horizontal="center"/>
    </xf>
    <xf numFmtId="169" fontId="48" fillId="35" borderId="33" xfId="333" applyNumberFormat="1" applyFont="1" applyFill="1" applyBorder="1" applyAlignment="1" applyProtection="1">
      <alignment horizontal="center"/>
    </xf>
    <xf numFmtId="169" fontId="48" fillId="35" borderId="16" xfId="333" applyNumberFormat="1" applyFont="1" applyFill="1" applyBorder="1" applyAlignment="1" applyProtection="1">
      <alignment horizontal="center"/>
    </xf>
    <xf numFmtId="16" fontId="50" fillId="35" borderId="12" xfId="333" applyNumberFormat="1" applyFont="1" applyFill="1" applyBorder="1" applyAlignment="1" applyProtection="1">
      <alignment horizontal="center"/>
    </xf>
    <xf numFmtId="169" fontId="48" fillId="35" borderId="21" xfId="333" applyNumberFormat="1" applyFont="1" applyFill="1" applyBorder="1" applyAlignment="1" applyProtection="1">
      <alignment horizontal="center"/>
    </xf>
    <xf numFmtId="10" fontId="48" fillId="33" borderId="28" xfId="36" applyNumberFormat="1" applyFont="1" applyFill="1" applyBorder="1" applyAlignment="1" applyProtection="1">
      <alignment horizontal="center"/>
      <protection hidden="1"/>
    </xf>
    <xf numFmtId="10" fontId="48" fillId="33" borderId="16" xfId="36" applyNumberFormat="1" applyFont="1" applyFill="1" applyBorder="1" applyAlignment="1" applyProtection="1">
      <alignment horizontal="center"/>
      <protection hidden="1"/>
    </xf>
    <xf numFmtId="170" fontId="48" fillId="33" borderId="10" xfId="333" applyNumberFormat="1" applyFont="1" applyFill="1" applyBorder="1" applyAlignment="1" applyProtection="1">
      <alignment horizontal="center"/>
      <protection hidden="1"/>
    </xf>
    <xf numFmtId="170" fontId="48" fillId="33" borderId="11" xfId="333" applyNumberFormat="1" applyFont="1" applyFill="1" applyBorder="1" applyAlignment="1" applyProtection="1">
      <alignment horizontal="center"/>
      <protection hidden="1"/>
    </xf>
    <xf numFmtId="10" fontId="48" fillId="33" borderId="15" xfId="36" applyNumberFormat="1" applyFont="1" applyFill="1" applyBorder="1" applyAlignment="1" applyProtection="1">
      <alignment horizontal="center"/>
      <protection hidden="1"/>
    </xf>
    <xf numFmtId="173" fontId="48" fillId="33" borderId="10" xfId="333" applyNumberFormat="1" applyFont="1" applyFill="1" applyBorder="1" applyAlignment="1" applyProtection="1">
      <alignment horizontal="center"/>
      <protection hidden="1"/>
    </xf>
    <xf numFmtId="173" fontId="48" fillId="33" borderId="11" xfId="333" applyNumberFormat="1" applyFont="1" applyFill="1" applyBorder="1" applyAlignment="1" applyProtection="1">
      <alignment horizontal="center"/>
      <protection hidden="1"/>
    </xf>
    <xf numFmtId="0" fontId="54" fillId="7" borderId="39" xfId="333" applyFont="1" applyFill="1" applyBorder="1" applyAlignment="1" applyProtection="1">
      <alignment horizontal="center"/>
    </xf>
    <xf numFmtId="0" fontId="54" fillId="45" borderId="39" xfId="333" applyFont="1" applyFill="1" applyBorder="1" applyAlignment="1" applyProtection="1">
      <alignment horizontal="center"/>
    </xf>
    <xf numFmtId="0" fontId="69" fillId="0" borderId="158" xfId="9" applyFont="1" applyFill="1" applyBorder="1" applyProtection="1"/>
    <xf numFmtId="3" fontId="50" fillId="0" borderId="0" xfId="9" applyNumberFormat="1" applyFont="1" applyFill="1" applyBorder="1" applyProtection="1">
      <protection locked="0"/>
    </xf>
    <xf numFmtId="0" fontId="50" fillId="6" borderId="1" xfId="9" applyFont="1" applyFill="1" applyBorder="1" applyProtection="1"/>
    <xf numFmtId="3" fontId="47" fillId="6" borderId="25" xfId="9" applyNumberFormat="1" applyFont="1" applyFill="1" applyBorder="1" applyProtection="1"/>
    <xf numFmtId="3" fontId="51" fillId="0" borderId="0" xfId="9" applyNumberFormat="1" applyFont="1" applyFill="1" applyBorder="1" applyProtection="1">
      <protection locked="0"/>
    </xf>
    <xf numFmtId="3" fontId="50" fillId="0" borderId="0" xfId="9" applyNumberFormat="1" applyFont="1" applyFill="1" applyBorder="1" applyProtection="1"/>
    <xf numFmtId="3" fontId="47" fillId="6" borderId="30" xfId="9" applyNumberFormat="1" applyFont="1" applyFill="1" applyBorder="1" applyProtection="1"/>
    <xf numFmtId="4" fontId="50" fillId="0" borderId="0" xfId="9" applyNumberFormat="1" applyFont="1" applyFill="1" applyBorder="1" applyProtection="1">
      <protection locked="0"/>
    </xf>
    <xf numFmtId="0" fontId="51" fillId="0" borderId="0" xfId="9" applyFont="1" applyFill="1" applyBorder="1" applyAlignment="1" applyProtection="1">
      <alignment horizontal="left" wrapText="1"/>
      <protection locked="0"/>
    </xf>
    <xf numFmtId="0" fontId="55" fillId="0" borderId="0" xfId="0" applyFont="1" applyFill="1" applyBorder="1" applyAlignment="1" applyProtection="1">
      <alignment wrapText="1"/>
      <protection locked="0"/>
    </xf>
    <xf numFmtId="0" fontId="47" fillId="6" borderId="0" xfId="9" applyFont="1" applyFill="1" applyBorder="1" applyProtection="1"/>
    <xf numFmtId="3" fontId="51" fillId="0" borderId="0" xfId="9" applyNumberFormat="1" applyFont="1" applyFill="1" applyBorder="1" applyAlignment="1" applyProtection="1">
      <alignment horizontal="right"/>
      <protection locked="0"/>
    </xf>
    <xf numFmtId="4" fontId="50" fillId="0" borderId="0" xfId="9" applyNumberFormat="1" applyFont="1" applyFill="1" applyBorder="1" applyAlignment="1" applyProtection="1">
      <alignment horizontal="right"/>
      <protection locked="0"/>
    </xf>
    <xf numFmtId="0" fontId="50" fillId="0" borderId="4" xfId="9" applyFont="1" applyFill="1" applyBorder="1" applyProtection="1">
      <protection locked="0"/>
    </xf>
    <xf numFmtId="0" fontId="83" fillId="0" borderId="4" xfId="9" applyFont="1" applyFill="1" applyBorder="1" applyProtection="1">
      <protection hidden="1"/>
    </xf>
    <xf numFmtId="10" fontId="47" fillId="0" borderId="33" xfId="9" applyNumberFormat="1" applyFont="1" applyFill="1" applyBorder="1" applyProtection="1">
      <protection locked="0"/>
    </xf>
    <xf numFmtId="3" fontId="47" fillId="0" borderId="30" xfId="9" applyNumberFormat="1" applyFont="1" applyFill="1" applyBorder="1" applyProtection="1"/>
    <xf numFmtId="169" fontId="50" fillId="0" borderId="0" xfId="9" applyNumberFormat="1" applyFont="1" applyFill="1" applyBorder="1" applyProtection="1">
      <protection locked="0"/>
    </xf>
    <xf numFmtId="0" fontId="46" fillId="40" borderId="6" xfId="0" applyFont="1" applyFill="1" applyBorder="1" applyAlignment="1" applyProtection="1">
      <alignment horizontal="center"/>
    </xf>
    <xf numFmtId="0" fontId="46" fillId="40" borderId="15" xfId="0" applyFont="1" applyFill="1" applyBorder="1" applyAlignment="1" applyProtection="1">
      <alignment horizontal="left"/>
    </xf>
    <xf numFmtId="0" fontId="54" fillId="40" borderId="12" xfId="0" applyFont="1" applyFill="1" applyBorder="1" applyAlignment="1" applyProtection="1">
      <alignment horizontal="center"/>
    </xf>
    <xf numFmtId="0" fontId="54" fillId="40" borderId="14" xfId="0" applyFont="1" applyFill="1" applyBorder="1" applyAlignment="1" applyProtection="1">
      <alignment horizontal="left"/>
    </xf>
    <xf numFmtId="0" fontId="47" fillId="40" borderId="32" xfId="0" applyFont="1" applyFill="1" applyBorder="1" applyAlignment="1" applyProtection="1">
      <alignment horizontal="center"/>
    </xf>
    <xf numFmtId="0" fontId="46" fillId="40" borderId="39" xfId="0" applyFont="1" applyFill="1" applyBorder="1" applyAlignment="1" applyProtection="1">
      <alignment horizontal="center"/>
    </xf>
    <xf numFmtId="0" fontId="54" fillId="40" borderId="4" xfId="0" applyFont="1" applyFill="1" applyBorder="1" applyAlignment="1" applyProtection="1">
      <alignment horizontal="left"/>
    </xf>
    <xf numFmtId="0" fontId="47" fillId="40" borderId="9" xfId="0" applyFont="1" applyFill="1" applyBorder="1" applyAlignment="1" applyProtection="1">
      <alignment horizontal="center"/>
    </xf>
    <xf numFmtId="0" fontId="48" fillId="0" borderId="0" xfId="0" applyFont="1" applyFill="1" applyBorder="1" applyAlignment="1" applyProtection="1">
      <alignment vertical="center"/>
    </xf>
    <xf numFmtId="0" fontId="48" fillId="35" borderId="6" xfId="9" applyFont="1" applyFill="1" applyBorder="1" applyProtection="1"/>
    <xf numFmtId="0" fontId="48" fillId="35" borderId="1" xfId="9" applyFont="1" applyFill="1" applyBorder="1" applyProtection="1"/>
    <xf numFmtId="0" fontId="48" fillId="35" borderId="76" xfId="9" applyFont="1" applyFill="1" applyBorder="1" applyProtection="1"/>
    <xf numFmtId="0" fontId="47" fillId="6" borderId="5" xfId="9" applyFont="1" applyFill="1" applyBorder="1" applyAlignment="1" applyProtection="1">
      <alignment horizontal="left"/>
    </xf>
    <xf numFmtId="0" fontId="48" fillId="35" borderId="76" xfId="9" applyFont="1" applyFill="1" applyBorder="1" applyAlignment="1" applyProtection="1">
      <alignment wrapText="1"/>
    </xf>
    <xf numFmtId="0" fontId="48" fillId="35" borderId="5" xfId="9" applyFont="1" applyFill="1" applyBorder="1" applyAlignment="1" applyProtection="1">
      <alignment wrapText="1"/>
    </xf>
    <xf numFmtId="0" fontId="48" fillId="35" borderId="5" xfId="9" applyFont="1" applyFill="1" applyBorder="1" applyProtection="1"/>
    <xf numFmtId="0" fontId="50" fillId="6" borderId="160" xfId="9" applyFont="1" applyFill="1" applyBorder="1" applyProtection="1"/>
    <xf numFmtId="0" fontId="47" fillId="6" borderId="175" xfId="9" applyFont="1" applyFill="1" applyBorder="1" applyAlignment="1" applyProtection="1">
      <alignment horizontal="left"/>
    </xf>
    <xf numFmtId="0" fontId="48" fillId="35" borderId="1" xfId="9" quotePrefix="1" applyFont="1" applyFill="1" applyBorder="1" applyProtection="1"/>
    <xf numFmtId="3" fontId="48" fillId="35" borderId="160" xfId="9" quotePrefix="1" applyNumberFormat="1" applyFont="1" applyFill="1" applyBorder="1" applyProtection="1"/>
    <xf numFmtId="3" fontId="48" fillId="35" borderId="175" xfId="9" applyNumberFormat="1" applyFont="1" applyFill="1" applyBorder="1" applyProtection="1"/>
    <xf numFmtId="0" fontId="48" fillId="35" borderId="7" xfId="9" quotePrefix="1" applyFont="1" applyFill="1" applyBorder="1" applyProtection="1"/>
    <xf numFmtId="4" fontId="48" fillId="35" borderId="8" xfId="9" applyNumberFormat="1" applyFont="1" applyFill="1" applyBorder="1" applyProtection="1"/>
    <xf numFmtId="4" fontId="47" fillId="6" borderId="9" xfId="9" applyNumberFormat="1" applyFont="1" applyFill="1" applyBorder="1" applyProtection="1"/>
    <xf numFmtId="0" fontId="47" fillId="6" borderId="158" xfId="9" applyFont="1" applyFill="1" applyBorder="1" applyProtection="1"/>
    <xf numFmtId="4" fontId="47" fillId="6" borderId="159" xfId="9" applyNumberFormat="1" applyFont="1" applyFill="1" applyBorder="1" applyProtection="1"/>
    <xf numFmtId="4" fontId="47" fillId="6" borderId="9" xfId="9" applyNumberFormat="1" applyFont="1" applyFill="1" applyBorder="1" applyAlignment="1" applyProtection="1">
      <alignment horizontal="right"/>
    </xf>
    <xf numFmtId="0" fontId="48" fillId="35" borderId="7" xfId="9" applyFont="1" applyFill="1" applyBorder="1" applyAlignment="1" applyProtection="1">
      <alignment wrapText="1"/>
    </xf>
    <xf numFmtId="4" fontId="48" fillId="35" borderId="9" xfId="9" applyNumberFormat="1" applyFont="1" applyFill="1" applyBorder="1" applyProtection="1"/>
    <xf numFmtId="0" fontId="48" fillId="35" borderId="0" xfId="9" quotePrefix="1" applyFont="1" applyFill="1" applyBorder="1" applyProtection="1"/>
    <xf numFmtId="0" fontId="48" fillId="35" borderId="0" xfId="9" applyFont="1" applyFill="1" applyBorder="1" applyProtection="1"/>
    <xf numFmtId="3" fontId="48" fillId="35" borderId="160" xfId="9" applyNumberFormat="1" applyFont="1" applyFill="1" applyBorder="1" applyProtection="1"/>
    <xf numFmtId="3" fontId="48" fillId="35" borderId="158" xfId="9" applyNumberFormat="1" applyFont="1" applyFill="1" applyBorder="1" applyProtection="1"/>
    <xf numFmtId="3" fontId="47" fillId="35" borderId="159" xfId="9" applyNumberFormat="1" applyFont="1" applyFill="1" applyBorder="1" applyAlignment="1" applyProtection="1">
      <alignment horizontal="right"/>
    </xf>
    <xf numFmtId="9" fontId="47" fillId="33" borderId="9" xfId="36" applyFont="1" applyFill="1" applyBorder="1" applyAlignment="1" applyProtection="1">
      <alignment horizontal="center"/>
    </xf>
    <xf numFmtId="9" fontId="47" fillId="33" borderId="25" xfId="9" applyNumberFormat="1" applyFont="1" applyFill="1" applyBorder="1" applyAlignment="1" applyProtection="1">
      <alignment horizontal="center"/>
    </xf>
    <xf numFmtId="3" fontId="48" fillId="33" borderId="30" xfId="9" applyNumberFormat="1" applyFont="1" applyFill="1" applyBorder="1" applyProtection="1"/>
    <xf numFmtId="3" fontId="48" fillId="33" borderId="24" xfId="9" applyNumberFormat="1" applyFont="1" applyFill="1" applyBorder="1" applyProtection="1"/>
    <xf numFmtId="3" fontId="48" fillId="33" borderId="25" xfId="9" applyNumberFormat="1" applyFont="1" applyFill="1" applyBorder="1" applyProtection="1"/>
    <xf numFmtId="0" fontId="49" fillId="40" borderId="61" xfId="0" applyFont="1" applyFill="1" applyBorder="1" applyAlignment="1" applyProtection="1">
      <alignment horizontal="center" vertical="center"/>
    </xf>
    <xf numFmtId="0" fontId="49" fillId="40" borderId="33" xfId="0" applyFont="1" applyFill="1" applyBorder="1" applyAlignment="1" applyProtection="1">
      <alignment horizontal="center" vertical="center"/>
    </xf>
    <xf numFmtId="0" fontId="49" fillId="40" borderId="44" xfId="0" applyFont="1" applyFill="1" applyBorder="1" applyAlignment="1" applyProtection="1">
      <alignment horizontal="center" vertical="center"/>
    </xf>
    <xf numFmtId="0" fontId="49" fillId="40" borderId="45" xfId="0" applyFont="1" applyFill="1" applyBorder="1" applyAlignment="1" applyProtection="1">
      <alignment horizontal="center" vertical="center"/>
    </xf>
    <xf numFmtId="0" fontId="49" fillId="40" borderId="26" xfId="0" applyFont="1" applyFill="1" applyBorder="1" applyAlignment="1" applyProtection="1">
      <alignment horizontal="center" vertical="center"/>
    </xf>
    <xf numFmtId="0" fontId="52" fillId="35" borderId="0" xfId="0" applyFont="1" applyFill="1" applyBorder="1" applyAlignment="1" applyProtection="1">
      <alignment horizontal="left" vertical="center"/>
    </xf>
    <xf numFmtId="0" fontId="52" fillId="35" borderId="116" xfId="0" applyFont="1" applyFill="1" applyBorder="1" applyAlignment="1" applyProtection="1">
      <alignment horizontal="left" vertical="center"/>
    </xf>
    <xf numFmtId="0" fontId="52" fillId="35" borderId="84" xfId="0" applyFont="1" applyFill="1" applyBorder="1" applyAlignment="1" applyProtection="1">
      <alignment horizontal="left" vertical="center"/>
    </xf>
    <xf numFmtId="1" fontId="55" fillId="33" borderId="113" xfId="0" applyNumberFormat="1" applyFont="1" applyFill="1" applyBorder="1" applyAlignment="1">
      <alignment horizontal="center"/>
    </xf>
    <xf numFmtId="1" fontId="55" fillId="33" borderId="114" xfId="0" applyNumberFormat="1" applyFont="1" applyFill="1" applyBorder="1" applyAlignment="1">
      <alignment horizontal="center"/>
    </xf>
    <xf numFmtId="1" fontId="55" fillId="33" borderId="226" xfId="0" applyNumberFormat="1" applyFont="1" applyFill="1" applyBorder="1" applyAlignment="1">
      <alignment horizontal="center"/>
    </xf>
    <xf numFmtId="1" fontId="55" fillId="33" borderId="127" xfId="0" applyNumberFormat="1" applyFont="1" applyFill="1" applyBorder="1" applyAlignment="1">
      <alignment horizontal="center"/>
    </xf>
    <xf numFmtId="1" fontId="55" fillId="33" borderId="111" xfId="0" applyNumberFormat="1" applyFont="1" applyFill="1" applyBorder="1" applyAlignment="1">
      <alignment horizontal="center"/>
    </xf>
    <xf numFmtId="1" fontId="55" fillId="33" borderId="227" xfId="0" applyNumberFormat="1" applyFont="1" applyFill="1" applyBorder="1" applyAlignment="1">
      <alignment horizontal="center"/>
    </xf>
    <xf numFmtId="1" fontId="55" fillId="33" borderId="229" xfId="0" applyNumberFormat="1" applyFont="1" applyFill="1" applyBorder="1" applyAlignment="1">
      <alignment horizontal="center"/>
    </xf>
    <xf numFmtId="1" fontId="55" fillId="33" borderId="231" xfId="0" applyNumberFormat="1" applyFont="1" applyFill="1" applyBorder="1" applyAlignment="1">
      <alignment horizontal="center"/>
    </xf>
    <xf numFmtId="1" fontId="55" fillId="33" borderId="230" xfId="0" applyNumberFormat="1" applyFont="1" applyFill="1" applyBorder="1" applyAlignment="1">
      <alignment horizontal="center"/>
    </xf>
    <xf numFmtId="0" fontId="46" fillId="40" borderId="13" xfId="0" applyFont="1" applyFill="1" applyBorder="1" applyAlignment="1" applyProtection="1">
      <alignment horizontal="center" vertical="center"/>
    </xf>
    <xf numFmtId="0" fontId="54" fillId="40" borderId="17" xfId="0" applyFont="1" applyFill="1" applyBorder="1" applyAlignment="1" applyProtection="1">
      <alignment horizontal="left" vertical="center"/>
    </xf>
    <xf numFmtId="0" fontId="67" fillId="40" borderId="18" xfId="0" applyFont="1" applyFill="1" applyBorder="1" applyAlignment="1" applyProtection="1">
      <alignment horizontal="center" vertical="center"/>
    </xf>
    <xf numFmtId="173" fontId="55" fillId="34" borderId="39" xfId="0" applyNumberFormat="1" applyFont="1" applyFill="1" applyBorder="1" applyAlignment="1">
      <alignment horizontal="center" vertical="center"/>
    </xf>
    <xf numFmtId="173" fontId="55" fillId="34" borderId="53" xfId="0" applyNumberFormat="1" applyFont="1" applyFill="1" applyBorder="1" applyAlignment="1">
      <alignment horizontal="center" vertical="center"/>
    </xf>
    <xf numFmtId="173" fontId="55" fillId="34" borderId="228" xfId="0" applyNumberFormat="1" applyFont="1" applyFill="1" applyBorder="1" applyAlignment="1">
      <alignment horizontal="center" vertical="center"/>
    </xf>
    <xf numFmtId="0" fontId="92" fillId="4" borderId="40" xfId="0" applyFont="1" applyFill="1" applyBorder="1" applyAlignment="1">
      <alignment horizontal="center"/>
    </xf>
    <xf numFmtId="0" fontId="55" fillId="50" borderId="6" xfId="0" applyFont="1" applyFill="1" applyBorder="1" applyAlignment="1">
      <alignment horizontal="left"/>
    </xf>
    <xf numFmtId="0" fontId="93" fillId="50" borderId="7" xfId="0" applyFont="1" applyFill="1" applyBorder="1" applyAlignment="1">
      <alignment horizontal="left"/>
    </xf>
    <xf numFmtId="0" fontId="55" fillId="50" borderId="8" xfId="0" applyFont="1" applyFill="1" applyBorder="1" applyAlignment="1">
      <alignment horizontal="center"/>
    </xf>
    <xf numFmtId="170" fontId="55" fillId="35" borderId="39" xfId="0" applyNumberFormat="1" applyFont="1" applyFill="1" applyBorder="1" applyAlignment="1">
      <alignment horizontal="center"/>
    </xf>
    <xf numFmtId="0" fontId="55" fillId="50" borderId="1" xfId="0" applyFont="1" applyFill="1" applyBorder="1" applyAlignment="1">
      <alignment horizontal="left"/>
    </xf>
    <xf numFmtId="0" fontId="93" fillId="50" borderId="0" xfId="0" applyFont="1" applyFill="1" applyBorder="1"/>
    <xf numFmtId="0" fontId="55" fillId="50" borderId="9" xfId="0" applyFont="1" applyFill="1" applyBorder="1" applyAlignment="1">
      <alignment horizontal="center"/>
    </xf>
    <xf numFmtId="170" fontId="55" fillId="35" borderId="53" xfId="0" applyNumberFormat="1" applyFont="1" applyFill="1" applyBorder="1" applyAlignment="1">
      <alignment horizontal="center"/>
    </xf>
    <xf numFmtId="0" fontId="55" fillId="50" borderId="160" xfId="0" applyFont="1" applyFill="1" applyBorder="1" applyAlignment="1">
      <alignment horizontal="left"/>
    </xf>
    <xf numFmtId="181" fontId="85" fillId="50" borderId="158" xfId="0" applyNumberFormat="1" applyFont="1" applyFill="1" applyBorder="1" applyAlignment="1">
      <alignment horizontal="center" vertical="center"/>
    </xf>
    <xf numFmtId="0" fontId="55" fillId="50" borderId="159" xfId="0" applyFont="1" applyFill="1" applyBorder="1" applyAlignment="1">
      <alignment horizontal="center"/>
    </xf>
    <xf numFmtId="170" fontId="55" fillId="35" borderId="51" xfId="0" applyNumberFormat="1" applyFont="1" applyFill="1" applyBorder="1" applyAlignment="1">
      <alignment horizontal="center"/>
    </xf>
    <xf numFmtId="0" fontId="55" fillId="50" borderId="24" xfId="0" applyFont="1" applyFill="1" applyBorder="1" applyAlignment="1">
      <alignment horizontal="center"/>
    </xf>
    <xf numFmtId="10" fontId="55" fillId="35" borderId="53" xfId="0" applyNumberFormat="1" applyFont="1" applyFill="1" applyBorder="1" applyAlignment="1">
      <alignment horizontal="center"/>
    </xf>
    <xf numFmtId="0" fontId="55" fillId="50" borderId="25" xfId="0" applyFont="1" applyFill="1" applyBorder="1" applyAlignment="1">
      <alignment horizontal="center"/>
    </xf>
    <xf numFmtId="0" fontId="55" fillId="50" borderId="171" xfId="0" applyFont="1" applyFill="1" applyBorder="1" applyAlignment="1">
      <alignment horizontal="center"/>
    </xf>
    <xf numFmtId="10" fontId="55" fillId="35" borderId="51" xfId="0" applyNumberFormat="1" applyFont="1" applyFill="1" applyBorder="1" applyAlignment="1">
      <alignment horizontal="center"/>
    </xf>
    <xf numFmtId="0" fontId="92" fillId="40" borderId="40" xfId="0" applyFont="1" applyFill="1" applyBorder="1" applyAlignment="1">
      <alignment horizontal="center"/>
    </xf>
    <xf numFmtId="170" fontId="55" fillId="5" borderId="39" xfId="0" applyNumberFormat="1" applyFont="1" applyFill="1" applyBorder="1" applyAlignment="1" applyProtection="1">
      <alignment horizontal="center"/>
      <protection locked="0"/>
    </xf>
    <xf numFmtId="170" fontId="55" fillId="5" borderId="53" xfId="0" applyNumberFormat="1" applyFont="1" applyFill="1" applyBorder="1" applyAlignment="1" applyProtection="1">
      <alignment horizontal="center"/>
      <protection locked="0"/>
    </xf>
    <xf numFmtId="170" fontId="55" fillId="5" borderId="55" xfId="0" applyNumberFormat="1" applyFont="1" applyFill="1" applyBorder="1" applyAlignment="1" applyProtection="1">
      <alignment horizontal="center"/>
      <protection locked="0"/>
    </xf>
    <xf numFmtId="170" fontId="55" fillId="5" borderId="184" xfId="0" applyNumberFormat="1" applyFont="1" applyFill="1" applyBorder="1" applyAlignment="1" applyProtection="1">
      <alignment horizontal="center"/>
      <protection locked="0"/>
    </xf>
    <xf numFmtId="170" fontId="55" fillId="5" borderId="51" xfId="0" applyNumberFormat="1" applyFont="1" applyFill="1" applyBorder="1" applyAlignment="1" applyProtection="1">
      <alignment horizontal="center"/>
      <protection locked="0"/>
    </xf>
    <xf numFmtId="0" fontId="55" fillId="36" borderId="6" xfId="0" applyFont="1" applyFill="1" applyBorder="1" applyAlignment="1">
      <alignment horizontal="left"/>
    </xf>
    <xf numFmtId="0" fontId="55" fillId="36" borderId="8" xfId="0" applyFont="1" applyFill="1" applyBorder="1" applyAlignment="1">
      <alignment horizontal="left"/>
    </xf>
    <xf numFmtId="0" fontId="55" fillId="36" borderId="1" xfId="0" applyFont="1" applyFill="1" applyBorder="1" applyAlignment="1">
      <alignment horizontal="left"/>
    </xf>
    <xf numFmtId="0" fontId="55" fillId="36" borderId="9" xfId="0" applyFont="1" applyFill="1" applyBorder="1" applyAlignment="1">
      <alignment horizontal="left"/>
    </xf>
    <xf numFmtId="0" fontId="55" fillId="36" borderId="188" xfId="0" applyFont="1" applyFill="1" applyBorder="1" applyAlignment="1">
      <alignment horizontal="left"/>
    </xf>
    <xf numFmtId="0" fontId="55" fillId="36" borderId="166" xfId="0" applyFont="1" applyFill="1" applyBorder="1" applyAlignment="1">
      <alignment horizontal="left"/>
    </xf>
    <xf numFmtId="0" fontId="55" fillId="36" borderId="232" xfId="0" applyFont="1" applyFill="1" applyBorder="1" applyAlignment="1">
      <alignment vertical="top"/>
    </xf>
    <xf numFmtId="0" fontId="55" fillId="36" borderId="233" xfId="0" applyFont="1" applyFill="1" applyBorder="1" applyAlignment="1">
      <alignment horizontal="left"/>
    </xf>
    <xf numFmtId="0" fontId="55" fillId="36" borderId="1" xfId="0" applyFont="1" applyFill="1" applyBorder="1" applyAlignment="1">
      <alignment vertical="top"/>
    </xf>
    <xf numFmtId="0" fontId="55" fillId="36" borderId="232" xfId="0" applyFont="1" applyFill="1" applyBorder="1" applyAlignment="1">
      <alignment horizontal="left"/>
    </xf>
    <xf numFmtId="0" fontId="55" fillId="36" borderId="160" xfId="0" applyFont="1" applyFill="1" applyBorder="1" applyAlignment="1">
      <alignment horizontal="left"/>
    </xf>
    <xf numFmtId="0" fontId="55" fillId="36" borderId="159" xfId="0" applyFont="1" applyFill="1" applyBorder="1" applyAlignment="1">
      <alignment horizontal="left"/>
    </xf>
    <xf numFmtId="0" fontId="46" fillId="0" borderId="1" xfId="333" applyFont="1" applyFill="1" applyBorder="1" applyAlignment="1" applyProtection="1">
      <alignment vertical="center"/>
      <protection locked="0"/>
    </xf>
    <xf numFmtId="0" fontId="46" fillId="0" borderId="0" xfId="333" applyFont="1" applyFill="1" applyBorder="1" applyAlignment="1" applyProtection="1">
      <alignment vertical="center"/>
      <protection locked="0"/>
    </xf>
    <xf numFmtId="0" fontId="50" fillId="0" borderId="1" xfId="333" applyFont="1" applyFill="1" applyBorder="1" applyProtection="1">
      <protection locked="0"/>
    </xf>
    <xf numFmtId="0" fontId="50" fillId="0" borderId="3" xfId="9" applyFont="1" applyFill="1" applyBorder="1" applyProtection="1">
      <protection locked="0"/>
    </xf>
    <xf numFmtId="0" fontId="52" fillId="3" borderId="0" xfId="9" applyFont="1" applyFill="1" applyBorder="1" applyProtection="1">
      <protection locked="0"/>
    </xf>
    <xf numFmtId="0" fontId="49" fillId="6" borderId="2" xfId="9" applyFont="1" applyFill="1" applyBorder="1" applyProtection="1"/>
    <xf numFmtId="3" fontId="47" fillId="6" borderId="38" xfId="9" applyNumberFormat="1" applyFont="1" applyFill="1" applyBorder="1" applyProtection="1"/>
    <xf numFmtId="3" fontId="47" fillId="6" borderId="55" xfId="9" applyNumberFormat="1" applyFont="1" applyFill="1" applyBorder="1" applyProtection="1"/>
    <xf numFmtId="0" fontId="49" fillId="6" borderId="0" xfId="9" applyFont="1" applyFill="1" applyBorder="1" applyProtection="1"/>
    <xf numFmtId="3" fontId="47" fillId="6" borderId="53" xfId="9" applyNumberFormat="1" applyFont="1" applyFill="1" applyBorder="1" applyProtection="1"/>
    <xf numFmtId="0" fontId="51" fillId="0" borderId="3" xfId="9" applyFont="1" applyFill="1" applyBorder="1" applyProtection="1">
      <protection locked="0"/>
    </xf>
    <xf numFmtId="3" fontId="48" fillId="0" borderId="0" xfId="9" applyNumberFormat="1" applyFont="1" applyFill="1" applyBorder="1" applyProtection="1"/>
    <xf numFmtId="0" fontId="47" fillId="6" borderId="2" xfId="9" applyFont="1" applyFill="1" applyBorder="1" applyProtection="1"/>
    <xf numFmtId="3" fontId="47" fillId="6" borderId="2" xfId="9" applyNumberFormat="1" applyFont="1" applyFill="1" applyBorder="1" applyProtection="1"/>
    <xf numFmtId="3" fontId="47" fillId="6" borderId="0" xfId="9" applyNumberFormat="1" applyFont="1" applyFill="1" applyBorder="1" applyAlignment="1" applyProtection="1">
      <alignment horizontal="right"/>
    </xf>
    <xf numFmtId="4" fontId="48" fillId="0" borderId="0" xfId="9" applyNumberFormat="1" applyFont="1" applyFill="1" applyBorder="1" applyAlignment="1" applyProtection="1">
      <alignment horizontal="right"/>
    </xf>
    <xf numFmtId="172" fontId="47" fillId="0" borderId="33" xfId="36" applyNumberFormat="1" applyFont="1" applyFill="1" applyBorder="1" applyProtection="1">
      <protection locked="0"/>
    </xf>
    <xf numFmtId="173" fontId="47" fillId="0" borderId="30" xfId="9" applyNumberFormat="1" applyFont="1" applyFill="1" applyBorder="1" applyProtection="1"/>
    <xf numFmtId="0" fontId="48" fillId="0" borderId="9" xfId="9" applyFont="1" applyFill="1" applyBorder="1" applyProtection="1">
      <protection locked="0"/>
    </xf>
    <xf numFmtId="0" fontId="48" fillId="0" borderId="3" xfId="9" applyFont="1" applyFill="1" applyBorder="1" applyProtection="1">
      <protection locked="0"/>
    </xf>
    <xf numFmtId="0" fontId="47" fillId="0" borderId="0" xfId="9" applyFont="1" applyFill="1" applyBorder="1" applyProtection="1">
      <protection locked="0"/>
    </xf>
    <xf numFmtId="3" fontId="48" fillId="0" borderId="0" xfId="9" applyNumberFormat="1" applyFont="1" applyFill="1" applyBorder="1" applyProtection="1">
      <protection locked="0"/>
    </xf>
    <xf numFmtId="3" fontId="48" fillId="0" borderId="1" xfId="9" applyNumberFormat="1" applyFont="1" applyFill="1" applyBorder="1" applyProtection="1"/>
    <xf numFmtId="3" fontId="48" fillId="0" borderId="9" xfId="9" applyNumberFormat="1" applyFont="1" applyFill="1" applyBorder="1" applyProtection="1"/>
    <xf numFmtId="3" fontId="48" fillId="3" borderId="0" xfId="9" applyNumberFormat="1" applyFont="1" applyFill="1" applyBorder="1" applyProtection="1">
      <protection locked="0"/>
    </xf>
    <xf numFmtId="3" fontId="49" fillId="6" borderId="22" xfId="9" applyNumberFormat="1" applyFont="1" applyFill="1" applyBorder="1" applyProtection="1"/>
    <xf numFmtId="3" fontId="49" fillId="6" borderId="2" xfId="9" applyNumberFormat="1" applyFont="1" applyFill="1" applyBorder="1" applyProtection="1"/>
    <xf numFmtId="3" fontId="49" fillId="6" borderId="23" xfId="9" applyNumberFormat="1" applyFont="1" applyFill="1" applyBorder="1" applyProtection="1"/>
    <xf numFmtId="3" fontId="49" fillId="0" borderId="0" xfId="9" applyNumberFormat="1" applyFont="1" applyFill="1" applyBorder="1" applyProtection="1">
      <protection locked="0"/>
    </xf>
    <xf numFmtId="3" fontId="47" fillId="6" borderId="1" xfId="9" applyNumberFormat="1" applyFont="1" applyFill="1" applyBorder="1" applyProtection="1"/>
    <xf numFmtId="3" fontId="47" fillId="6" borderId="0" xfId="9" applyNumberFormat="1" applyFont="1" applyFill="1" applyBorder="1" applyProtection="1"/>
    <xf numFmtId="3" fontId="47" fillId="6" borderId="9" xfId="9" applyNumberFormat="1" applyFont="1" applyFill="1" applyBorder="1" applyProtection="1"/>
    <xf numFmtId="0" fontId="47" fillId="0" borderId="3" xfId="9" applyFont="1" applyFill="1" applyBorder="1" applyProtection="1">
      <protection locked="0"/>
    </xf>
    <xf numFmtId="4" fontId="48" fillId="0" borderId="0" xfId="9" applyNumberFormat="1" applyFont="1" applyFill="1" applyBorder="1" applyProtection="1">
      <protection locked="0"/>
    </xf>
    <xf numFmtId="3" fontId="47" fillId="0" borderId="12" xfId="9" applyNumberFormat="1" applyFont="1" applyFill="1" applyBorder="1" applyProtection="1"/>
    <xf numFmtId="3" fontId="47" fillId="0" borderId="10" xfId="9" applyNumberFormat="1" applyFont="1" applyFill="1" applyBorder="1" applyProtection="1"/>
    <xf numFmtId="3" fontId="47" fillId="0" borderId="11" xfId="9" applyNumberFormat="1" applyFont="1" applyFill="1" applyBorder="1" applyProtection="1"/>
    <xf numFmtId="0" fontId="52" fillId="0" borderId="0" xfId="9" applyFont="1" applyFill="1" applyBorder="1" applyProtection="1">
      <protection locked="0"/>
    </xf>
    <xf numFmtId="3" fontId="96" fillId="0" borderId="0" xfId="9" applyNumberFormat="1" applyFont="1" applyFill="1" applyBorder="1" applyProtection="1">
      <protection hidden="1"/>
    </xf>
    <xf numFmtId="3" fontId="47" fillId="6" borderId="22" xfId="9" applyNumberFormat="1" applyFont="1" applyFill="1" applyBorder="1" applyProtection="1"/>
    <xf numFmtId="3" fontId="47" fillId="6" borderId="23" xfId="9" applyNumberFormat="1" applyFont="1" applyFill="1" applyBorder="1" applyProtection="1"/>
    <xf numFmtId="3" fontId="47" fillId="6" borderId="1" xfId="9" applyNumberFormat="1" applyFont="1" applyFill="1" applyBorder="1" applyAlignment="1" applyProtection="1">
      <alignment horizontal="right"/>
    </xf>
    <xf numFmtId="3" fontId="47" fillId="6" borderId="9" xfId="9" applyNumberFormat="1" applyFont="1" applyFill="1" applyBorder="1" applyAlignment="1" applyProtection="1">
      <alignment horizontal="right"/>
    </xf>
    <xf numFmtId="3" fontId="47" fillId="0" borderId="0" xfId="9" applyNumberFormat="1" applyFont="1" applyFill="1" applyBorder="1" applyAlignment="1" applyProtection="1">
      <alignment horizontal="right"/>
      <protection locked="0"/>
    </xf>
    <xf numFmtId="4" fontId="48" fillId="0" borderId="1" xfId="9" applyNumberFormat="1" applyFont="1" applyFill="1" applyBorder="1" applyAlignment="1" applyProtection="1">
      <alignment horizontal="right"/>
    </xf>
    <xf numFmtId="4" fontId="48" fillId="0" borderId="9" xfId="9" applyNumberFormat="1" applyFont="1" applyFill="1" applyBorder="1" applyAlignment="1" applyProtection="1">
      <alignment horizontal="right"/>
    </xf>
    <xf numFmtId="4" fontId="48" fillId="0" borderId="0" xfId="9" applyNumberFormat="1" applyFont="1" applyFill="1" applyBorder="1" applyAlignment="1" applyProtection="1">
      <alignment horizontal="right"/>
      <protection locked="0"/>
    </xf>
    <xf numFmtId="0" fontId="49" fillId="0" borderId="0" xfId="32" applyFont="1" applyBorder="1" applyAlignment="1" applyProtection="1">
      <alignment horizontal="center"/>
      <protection locked="0"/>
    </xf>
    <xf numFmtId="168" fontId="47" fillId="0" borderId="0" xfId="36" applyNumberFormat="1" applyFont="1" applyFill="1" applyBorder="1" applyAlignment="1" applyProtection="1">
      <protection locked="0"/>
    </xf>
    <xf numFmtId="168" fontId="47" fillId="0" borderId="0" xfId="36" applyNumberFormat="1" applyFont="1" applyFill="1" applyBorder="1" applyAlignment="1" applyProtection="1">
      <alignment horizontal="center"/>
      <protection locked="0"/>
    </xf>
    <xf numFmtId="3" fontId="47" fillId="0" borderId="0" xfId="36" applyNumberFormat="1" applyFont="1" applyFill="1" applyBorder="1" applyAlignment="1" applyProtection="1">
      <protection locked="0"/>
    </xf>
    <xf numFmtId="173" fontId="47" fillId="0" borderId="0" xfId="36" applyNumberFormat="1" applyFont="1" applyFill="1" applyBorder="1" applyAlignment="1" applyProtection="1">
      <protection locked="0"/>
    </xf>
    <xf numFmtId="3" fontId="47" fillId="0" borderId="0" xfId="36" applyNumberFormat="1" applyFont="1" applyFill="1" applyBorder="1" applyAlignment="1" applyProtection="1">
      <alignment horizontal="center"/>
      <protection locked="0"/>
    </xf>
    <xf numFmtId="0" fontId="47" fillId="0" borderId="0" xfId="333" applyFont="1" applyFill="1" applyBorder="1" applyAlignment="1" applyProtection="1">
      <alignment horizontal="left" vertical="center"/>
      <protection locked="0"/>
    </xf>
    <xf numFmtId="3" fontId="48" fillId="33" borderId="7" xfId="9" applyNumberFormat="1" applyFont="1" applyFill="1" applyBorder="1" applyProtection="1"/>
    <xf numFmtId="3" fontId="48" fillId="33" borderId="8" xfId="9" applyNumberFormat="1" applyFont="1" applyFill="1" applyBorder="1" applyProtection="1"/>
    <xf numFmtId="3" fontId="48" fillId="33" borderId="0" xfId="9" applyNumberFormat="1" applyFont="1" applyFill="1" applyBorder="1" applyProtection="1"/>
    <xf numFmtId="3" fontId="48" fillId="33" borderId="9" xfId="9" applyNumberFormat="1" applyFont="1" applyFill="1" applyBorder="1" applyProtection="1"/>
    <xf numFmtId="3" fontId="47" fillId="6" borderId="10" xfId="9" applyNumberFormat="1" applyFont="1" applyFill="1" applyBorder="1" applyProtection="1"/>
    <xf numFmtId="3" fontId="47" fillId="6" borderId="11" xfId="9" applyNumberFormat="1" applyFont="1" applyFill="1" applyBorder="1" applyProtection="1"/>
    <xf numFmtId="165" fontId="48" fillId="0" borderId="0" xfId="9" applyNumberFormat="1" applyFont="1" applyFill="1" applyBorder="1" applyProtection="1">
      <protection locked="0"/>
    </xf>
    <xf numFmtId="0" fontId="47" fillId="40" borderId="16" xfId="0" applyFont="1" applyFill="1" applyBorder="1" applyAlignment="1" applyProtection="1">
      <alignment horizontal="left"/>
    </xf>
    <xf numFmtId="3" fontId="48" fillId="33" borderId="6" xfId="9" applyNumberFormat="1" applyFont="1" applyFill="1" applyBorder="1" applyProtection="1"/>
    <xf numFmtId="4" fontId="48" fillId="33" borderId="0" xfId="9" applyNumberFormat="1" applyFont="1" applyFill="1" applyBorder="1" applyAlignment="1" applyProtection="1">
      <alignment horizontal="right"/>
    </xf>
    <xf numFmtId="4" fontId="48" fillId="33" borderId="9" xfId="9" applyNumberFormat="1" applyFont="1" applyFill="1" applyBorder="1" applyAlignment="1" applyProtection="1">
      <alignment horizontal="right"/>
    </xf>
    <xf numFmtId="3" fontId="47" fillId="33" borderId="10" xfId="9" applyNumberFormat="1" applyFont="1" applyFill="1" applyBorder="1" applyAlignment="1" applyProtection="1">
      <alignment horizontal="right"/>
    </xf>
    <xf numFmtId="3" fontId="47" fillId="33" borderId="11" xfId="9" applyNumberFormat="1" applyFont="1" applyFill="1" applyBorder="1" applyAlignment="1" applyProtection="1">
      <alignment horizontal="right"/>
    </xf>
    <xf numFmtId="168" fontId="47" fillId="0" borderId="0" xfId="36" applyNumberFormat="1" applyFont="1" applyFill="1" applyBorder="1" applyAlignment="1" applyProtection="1">
      <alignment horizontal="right"/>
    </xf>
    <xf numFmtId="3" fontId="47" fillId="0" borderId="0" xfId="36" applyNumberFormat="1" applyFont="1" applyFill="1" applyBorder="1" applyAlignment="1" applyProtection="1">
      <alignment horizontal="right"/>
    </xf>
    <xf numFmtId="0" fontId="47" fillId="32" borderId="40" xfId="9" applyFont="1" applyFill="1" applyBorder="1" applyProtection="1">
      <protection locked="0"/>
    </xf>
    <xf numFmtId="16" fontId="47" fillId="40" borderId="39" xfId="9" applyNumberFormat="1" applyFont="1" applyFill="1" applyBorder="1" applyAlignment="1" applyProtection="1">
      <alignment horizontal="center"/>
    </xf>
    <xf numFmtId="0" fontId="47" fillId="40" borderId="28" xfId="9" applyFont="1" applyFill="1" applyBorder="1" applyProtection="1"/>
    <xf numFmtId="0" fontId="48" fillId="40" borderId="16" xfId="9" applyFont="1" applyFill="1" applyBorder="1" applyProtection="1"/>
    <xf numFmtId="0" fontId="47" fillId="40" borderId="51" xfId="9" applyFont="1" applyFill="1" applyBorder="1" applyAlignment="1" applyProtection="1">
      <alignment horizontal="center"/>
    </xf>
    <xf numFmtId="0" fontId="47" fillId="40" borderId="10" xfId="9" applyFont="1" applyFill="1" applyBorder="1" applyProtection="1"/>
    <xf numFmtId="0" fontId="47" fillId="40" borderId="26" xfId="9" applyFont="1" applyFill="1" applyBorder="1" applyAlignment="1" applyProtection="1">
      <alignment horizontal="center"/>
    </xf>
    <xf numFmtId="0" fontId="48" fillId="40" borderId="28" xfId="9" applyFont="1" applyFill="1" applyBorder="1" applyProtection="1"/>
    <xf numFmtId="0" fontId="47" fillId="40" borderId="15" xfId="9" applyFont="1" applyFill="1" applyBorder="1" applyProtection="1"/>
    <xf numFmtId="0" fontId="49" fillId="40" borderId="12" xfId="9" applyFont="1" applyFill="1" applyBorder="1" applyProtection="1"/>
    <xf numFmtId="0" fontId="82" fillId="40" borderId="10" xfId="9" applyFont="1" applyFill="1" applyBorder="1" applyProtection="1"/>
    <xf numFmtId="0" fontId="47" fillId="40" borderId="12" xfId="9" applyFont="1" applyFill="1" applyBorder="1" applyProtection="1"/>
    <xf numFmtId="0" fontId="48" fillId="0" borderId="0" xfId="9" quotePrefix="1" applyFont="1" applyFill="1" applyBorder="1" applyProtection="1">
      <protection locked="0"/>
    </xf>
    <xf numFmtId="16" fontId="70" fillId="6" borderId="160" xfId="0" applyNumberFormat="1" applyFont="1" applyFill="1" applyBorder="1" applyProtection="1"/>
    <xf numFmtId="0" fontId="47" fillId="6" borderId="158" xfId="0" applyFont="1" applyFill="1" applyBorder="1" applyProtection="1"/>
    <xf numFmtId="3" fontId="48" fillId="6" borderId="159" xfId="0" applyNumberFormat="1" applyFont="1" applyFill="1" applyBorder="1" applyProtection="1"/>
    <xf numFmtId="16" fontId="50" fillId="30" borderId="160" xfId="0" applyNumberFormat="1" applyFont="1" applyFill="1" applyBorder="1" applyProtection="1"/>
    <xf numFmtId="0" fontId="47" fillId="30" borderId="158" xfId="0" applyFont="1" applyFill="1" applyBorder="1" applyProtection="1"/>
    <xf numFmtId="3" fontId="48" fillId="30" borderId="159" xfId="0" applyNumberFormat="1" applyFont="1" applyFill="1" applyBorder="1" applyProtection="1"/>
    <xf numFmtId="4" fontId="48" fillId="33" borderId="0" xfId="9" applyNumberFormat="1" applyFont="1" applyFill="1" applyBorder="1" applyProtection="1"/>
    <xf numFmtId="4" fontId="48" fillId="33" borderId="9" xfId="9" applyNumberFormat="1" applyFont="1" applyFill="1" applyBorder="1" applyProtection="1"/>
    <xf numFmtId="3" fontId="47" fillId="33" borderId="10" xfId="9" applyNumberFormat="1" applyFont="1" applyFill="1" applyBorder="1" applyProtection="1"/>
    <xf numFmtId="3" fontId="47" fillId="33" borderId="11" xfId="9" applyNumberFormat="1" applyFont="1" applyFill="1" applyBorder="1" applyProtection="1"/>
    <xf numFmtId="0" fontId="47" fillId="6" borderId="22" xfId="9" applyFont="1" applyFill="1" applyBorder="1" applyProtection="1"/>
    <xf numFmtId="0" fontId="47" fillId="6" borderId="1" xfId="9" applyFont="1" applyFill="1" applyBorder="1" applyProtection="1"/>
    <xf numFmtId="4" fontId="52" fillId="33" borderId="39" xfId="9" applyNumberFormat="1" applyFont="1" applyFill="1" applyBorder="1" applyAlignment="1" applyProtection="1">
      <alignment horizontal="center"/>
    </xf>
    <xf numFmtId="4" fontId="52" fillId="33" borderId="53" xfId="9" applyNumberFormat="1" applyFont="1" applyFill="1" applyBorder="1" applyAlignment="1" applyProtection="1">
      <alignment horizontal="center"/>
    </xf>
    <xf numFmtId="0" fontId="47" fillId="40" borderId="16" xfId="9" applyFont="1" applyFill="1" applyBorder="1" applyAlignment="1" applyProtection="1">
      <alignment vertical="center"/>
    </xf>
    <xf numFmtId="0" fontId="47" fillId="40" borderId="234" xfId="9" applyFont="1" applyFill="1" applyBorder="1" applyAlignment="1" applyProtection="1">
      <alignment vertical="center"/>
    </xf>
    <xf numFmtId="3" fontId="47" fillId="6" borderId="180" xfId="9" applyNumberFormat="1" applyFont="1" applyFill="1" applyBorder="1" applyProtection="1"/>
    <xf numFmtId="4" fontId="52" fillId="33" borderId="184" xfId="9" applyNumberFormat="1" applyFont="1" applyFill="1" applyBorder="1" applyAlignment="1" applyProtection="1">
      <alignment horizontal="center"/>
    </xf>
    <xf numFmtId="4" fontId="48" fillId="33" borderId="53" xfId="9" applyNumberFormat="1" applyFont="1" applyFill="1" applyBorder="1" applyProtection="1"/>
    <xf numFmtId="0" fontId="46" fillId="40" borderId="28" xfId="9" applyFont="1" applyFill="1" applyBorder="1" applyProtection="1"/>
    <xf numFmtId="16" fontId="46" fillId="40" borderId="39" xfId="9" applyNumberFormat="1" applyFont="1" applyFill="1" applyBorder="1" applyAlignment="1" applyProtection="1">
      <alignment horizontal="center"/>
    </xf>
    <xf numFmtId="0" fontId="54" fillId="40" borderId="28" xfId="9" applyFont="1" applyFill="1" applyBorder="1" applyProtection="1"/>
    <xf numFmtId="0" fontId="46" fillId="40" borderId="51" xfId="9" applyFont="1" applyFill="1" applyBorder="1" applyAlignment="1" applyProtection="1">
      <alignment horizontal="center"/>
    </xf>
    <xf numFmtId="0" fontId="54" fillId="40" borderId="10" xfId="9" applyFont="1" applyFill="1" applyBorder="1" applyProtection="1"/>
    <xf numFmtId="0" fontId="48" fillId="0" borderId="7" xfId="9" applyFont="1" applyFill="1" applyBorder="1" applyProtection="1">
      <protection locked="0"/>
    </xf>
    <xf numFmtId="0" fontId="48" fillId="0" borderId="8" xfId="9" applyFont="1" applyFill="1" applyBorder="1" applyProtection="1">
      <protection locked="0"/>
    </xf>
    <xf numFmtId="0" fontId="48" fillId="0" borderId="158" xfId="9" applyFont="1" applyFill="1" applyBorder="1" applyProtection="1">
      <protection locked="0"/>
    </xf>
    <xf numFmtId="0" fontId="48" fillId="0" borderId="159" xfId="9" applyFont="1" applyFill="1" applyBorder="1" applyProtection="1">
      <protection locked="0"/>
    </xf>
    <xf numFmtId="0" fontId="84" fillId="0" borderId="7" xfId="333" applyFont="1" applyBorder="1" applyProtection="1"/>
    <xf numFmtId="0" fontId="48" fillId="0" borderId="7" xfId="333" applyFont="1" applyFill="1" applyBorder="1" applyProtection="1"/>
    <xf numFmtId="0" fontId="48" fillId="0" borderId="7" xfId="333" applyFont="1" applyFill="1" applyBorder="1" applyAlignment="1" applyProtection="1">
      <alignment horizontal="right"/>
    </xf>
    <xf numFmtId="0" fontId="48" fillId="0" borderId="7" xfId="333" applyFont="1" applyBorder="1" applyProtection="1"/>
    <xf numFmtId="0" fontId="67" fillId="0" borderId="6" xfId="333" applyFont="1" applyBorder="1" applyProtection="1"/>
    <xf numFmtId="0" fontId="48" fillId="35" borderId="1" xfId="9" applyFont="1" applyFill="1" applyBorder="1" applyAlignment="1" applyProtection="1">
      <alignment horizontal="right"/>
    </xf>
    <xf numFmtId="0" fontId="52" fillId="35" borderId="0" xfId="9" applyFont="1" applyFill="1" applyBorder="1" applyProtection="1"/>
    <xf numFmtId="3" fontId="48" fillId="35" borderId="12" xfId="9" quotePrefix="1" applyNumberFormat="1" applyFont="1" applyFill="1" applyBorder="1" applyProtection="1"/>
    <xf numFmtId="3" fontId="52" fillId="35" borderId="10" xfId="9" applyNumberFormat="1" applyFont="1" applyFill="1" applyBorder="1" applyProtection="1"/>
    <xf numFmtId="0" fontId="47" fillId="35" borderId="7" xfId="9" applyFont="1" applyFill="1" applyBorder="1" applyProtection="1"/>
    <xf numFmtId="4" fontId="52" fillId="35" borderId="8" xfId="9" applyNumberFormat="1" applyFont="1" applyFill="1" applyBorder="1" applyAlignment="1" applyProtection="1">
      <alignment horizontal="center"/>
    </xf>
    <xf numFmtId="0" fontId="47" fillId="35" borderId="0" xfId="9" applyFont="1" applyFill="1" applyBorder="1" applyProtection="1"/>
    <xf numFmtId="4" fontId="94" fillId="35" borderId="9" xfId="9" applyNumberFormat="1" applyFont="1" applyFill="1" applyBorder="1" applyAlignment="1" applyProtection="1">
      <alignment horizontal="center"/>
    </xf>
    <xf numFmtId="0" fontId="52" fillId="35" borderId="0" xfId="9" quotePrefix="1" applyFont="1" applyFill="1" applyBorder="1" applyProtection="1"/>
    <xf numFmtId="0" fontId="47" fillId="35" borderId="9" xfId="9" applyFont="1" applyFill="1" applyBorder="1" applyProtection="1"/>
    <xf numFmtId="3" fontId="48" fillId="35" borderId="0" xfId="9" applyNumberFormat="1" applyFont="1" applyFill="1" applyBorder="1" applyProtection="1"/>
    <xf numFmtId="3" fontId="48" fillId="35" borderId="9" xfId="9" applyNumberFormat="1" applyFont="1" applyFill="1" applyBorder="1" applyProtection="1"/>
    <xf numFmtId="4" fontId="48" fillId="35" borderId="0" xfId="9" applyNumberFormat="1" applyFont="1" applyFill="1" applyBorder="1" applyAlignment="1" applyProtection="1">
      <alignment horizontal="right"/>
    </xf>
    <xf numFmtId="4" fontId="48" fillId="35" borderId="9" xfId="9" applyNumberFormat="1" applyFont="1" applyFill="1" applyBorder="1" applyAlignment="1" applyProtection="1">
      <alignment horizontal="right"/>
    </xf>
    <xf numFmtId="3" fontId="48" fillId="35" borderId="12" xfId="9" applyNumberFormat="1" applyFont="1" applyFill="1" applyBorder="1" applyProtection="1"/>
    <xf numFmtId="3" fontId="48" fillId="35" borderId="10" xfId="9" applyNumberFormat="1" applyFont="1" applyFill="1" applyBorder="1" applyProtection="1"/>
    <xf numFmtId="3" fontId="47" fillId="35" borderId="10" xfId="9" applyNumberFormat="1" applyFont="1" applyFill="1" applyBorder="1" applyAlignment="1" applyProtection="1">
      <alignment horizontal="right"/>
    </xf>
    <xf numFmtId="3" fontId="94" fillId="33" borderId="53" xfId="9" applyNumberFormat="1" applyFont="1" applyFill="1" applyBorder="1" applyAlignment="1" applyProtection="1">
      <alignment horizontal="center"/>
    </xf>
    <xf numFmtId="3" fontId="48" fillId="33" borderId="1" xfId="9" applyNumberFormat="1" applyFont="1" applyFill="1" applyBorder="1" applyProtection="1"/>
    <xf numFmtId="168" fontId="47" fillId="33" borderId="25" xfId="9" applyNumberFormat="1" applyFont="1" applyFill="1" applyBorder="1" applyProtection="1"/>
    <xf numFmtId="168" fontId="47" fillId="33" borderId="53" xfId="9" applyNumberFormat="1" applyFont="1" applyFill="1" applyBorder="1" applyProtection="1"/>
    <xf numFmtId="4" fontId="48" fillId="33" borderId="1" xfId="9" applyNumberFormat="1" applyFont="1" applyFill="1" applyBorder="1" applyProtection="1"/>
    <xf numFmtId="3" fontId="47" fillId="33" borderId="30" xfId="9" applyNumberFormat="1" applyFont="1" applyFill="1" applyBorder="1" applyProtection="1"/>
    <xf numFmtId="3" fontId="47" fillId="33" borderId="51" xfId="9" applyNumberFormat="1" applyFont="1" applyFill="1" applyBorder="1" applyProtection="1"/>
    <xf numFmtId="3" fontId="47" fillId="33" borderId="12" xfId="9" applyNumberFormat="1" applyFont="1" applyFill="1" applyBorder="1" applyProtection="1"/>
    <xf numFmtId="4" fontId="48" fillId="33" borderId="1" xfId="9" applyNumberFormat="1" applyFont="1" applyFill="1" applyBorder="1" applyAlignment="1" applyProtection="1">
      <alignment horizontal="right"/>
    </xf>
    <xf numFmtId="0" fontId="50" fillId="0" borderId="0" xfId="9" applyFont="1" applyBorder="1" applyProtection="1">
      <protection locked="0"/>
    </xf>
    <xf numFmtId="9" fontId="50" fillId="0" borderId="0" xfId="36" applyFont="1" applyBorder="1" applyProtection="1">
      <protection locked="0"/>
    </xf>
    <xf numFmtId="169" fontId="50" fillId="0" borderId="0" xfId="9" applyNumberFormat="1" applyFont="1" applyBorder="1" applyProtection="1">
      <protection locked="0"/>
    </xf>
    <xf numFmtId="0" fontId="51" fillId="0" borderId="0" xfId="9" applyFont="1" applyBorder="1" applyProtection="1">
      <protection locked="0"/>
    </xf>
    <xf numFmtId="0" fontId="50" fillId="0" borderId="0" xfId="9" quotePrefix="1" applyFont="1" applyBorder="1" applyProtection="1">
      <protection locked="0"/>
    </xf>
    <xf numFmtId="3" fontId="50" fillId="0" borderId="0" xfId="9" applyNumberFormat="1" applyFont="1" applyBorder="1" applyProtection="1">
      <protection locked="0"/>
    </xf>
    <xf numFmtId="3" fontId="50" fillId="0" borderId="0" xfId="9" quotePrefix="1" applyNumberFormat="1" applyFont="1" applyBorder="1" applyProtection="1">
      <protection locked="0"/>
    </xf>
    <xf numFmtId="0" fontId="54" fillId="40" borderId="20" xfId="0" applyFont="1" applyFill="1" applyBorder="1" applyAlignment="1" applyProtection="1">
      <alignment horizontal="left"/>
    </xf>
    <xf numFmtId="0" fontId="54" fillId="40" borderId="10" xfId="0" applyFont="1" applyFill="1" applyBorder="1" applyAlignment="1" applyProtection="1">
      <alignment horizontal="left"/>
    </xf>
    <xf numFmtId="0" fontId="47" fillId="40" borderId="11" xfId="0" applyFont="1" applyFill="1" applyBorder="1" applyAlignment="1" applyProtection="1">
      <alignment horizontal="center"/>
    </xf>
    <xf numFmtId="0" fontId="47" fillId="35" borderId="1" xfId="9" applyFont="1" applyFill="1" applyBorder="1" applyAlignment="1" applyProtection="1">
      <alignment horizontal="center"/>
    </xf>
    <xf numFmtId="0" fontId="47" fillId="35" borderId="1" xfId="9" applyFont="1" applyFill="1" applyBorder="1" applyProtection="1"/>
    <xf numFmtId="0" fontId="47" fillId="35" borderId="12" xfId="9" applyFont="1" applyFill="1" applyBorder="1" applyAlignment="1" applyProtection="1">
      <alignment horizontal="center"/>
    </xf>
    <xf numFmtId="0" fontId="48" fillId="35" borderId="10" xfId="9" applyFont="1" applyFill="1" applyBorder="1" applyProtection="1"/>
    <xf numFmtId="3" fontId="47" fillId="33" borderId="42" xfId="9" applyNumberFormat="1" applyFont="1" applyFill="1" applyBorder="1" applyProtection="1"/>
    <xf numFmtId="3" fontId="47" fillId="33" borderId="3" xfId="9" applyNumberFormat="1" applyFont="1" applyFill="1" applyBorder="1" applyProtection="1"/>
    <xf numFmtId="3" fontId="47" fillId="33" borderId="41" xfId="9" applyNumberFormat="1" applyFont="1" applyFill="1" applyBorder="1" applyProtection="1"/>
    <xf numFmtId="167" fontId="48" fillId="33" borderId="1" xfId="9" applyNumberFormat="1" applyFont="1" applyFill="1" applyBorder="1" applyProtection="1"/>
    <xf numFmtId="3" fontId="48" fillId="33" borderId="12" xfId="9" applyNumberFormat="1" applyFont="1" applyFill="1" applyBorder="1" applyProtection="1"/>
    <xf numFmtId="3" fontId="48" fillId="33" borderId="10" xfId="9" applyNumberFormat="1" applyFont="1" applyFill="1" applyBorder="1" applyProtection="1"/>
    <xf numFmtId="3" fontId="48" fillId="33" borderId="11" xfId="9" applyNumberFormat="1" applyFont="1" applyFill="1" applyBorder="1" applyProtection="1"/>
    <xf numFmtId="4" fontId="50" fillId="35" borderId="7" xfId="9" applyNumberFormat="1" applyFont="1" applyFill="1" applyBorder="1" applyProtection="1"/>
    <xf numFmtId="4" fontId="50" fillId="35" borderId="0" xfId="9" quotePrefix="1" applyNumberFormat="1" applyFont="1" applyFill="1" applyBorder="1" applyProtection="1"/>
    <xf numFmtId="4" fontId="50" fillId="35" borderId="0" xfId="9" applyNumberFormat="1" applyFont="1" applyFill="1" applyBorder="1" applyProtection="1"/>
    <xf numFmtId="3" fontId="50" fillId="35" borderId="10" xfId="9" applyNumberFormat="1" applyFont="1" applyFill="1" applyBorder="1" applyProtection="1"/>
    <xf numFmtId="9" fontId="47" fillId="35" borderId="9" xfId="9" applyNumberFormat="1" applyFont="1" applyFill="1" applyBorder="1" applyAlignment="1" applyProtection="1">
      <alignment horizontal="center"/>
    </xf>
    <xf numFmtId="9" fontId="47" fillId="33" borderId="3" xfId="9" applyNumberFormat="1" applyFont="1" applyFill="1" applyBorder="1" applyAlignment="1" applyProtection="1">
      <alignment horizontal="center"/>
    </xf>
    <xf numFmtId="16" fontId="46" fillId="40" borderId="40" xfId="9" applyNumberFormat="1" applyFont="1" applyFill="1" applyBorder="1" applyAlignment="1" applyProtection="1">
      <alignment horizontal="center" vertical="center"/>
    </xf>
    <xf numFmtId="0" fontId="46" fillId="40" borderId="17" xfId="9" applyFont="1" applyFill="1" applyBorder="1" applyAlignment="1" applyProtection="1">
      <alignment horizontal="left" vertical="center"/>
    </xf>
    <xf numFmtId="0" fontId="46" fillId="40" borderId="35" xfId="9" applyFont="1" applyFill="1" applyBorder="1" applyAlignment="1" applyProtection="1">
      <alignment horizontal="center" vertical="center"/>
    </xf>
    <xf numFmtId="2" fontId="46" fillId="40" borderId="18" xfId="9" applyNumberFormat="1" applyFont="1" applyFill="1" applyBorder="1" applyAlignment="1" applyProtection="1">
      <alignment horizontal="center" vertical="center"/>
    </xf>
    <xf numFmtId="16" fontId="46" fillId="46" borderId="40" xfId="9" applyNumberFormat="1" applyFont="1" applyFill="1" applyBorder="1" applyAlignment="1" applyProtection="1">
      <alignment horizontal="center" vertical="center"/>
    </xf>
    <xf numFmtId="0" fontId="46" fillId="46" borderId="17" xfId="9" applyFont="1" applyFill="1" applyBorder="1" applyAlignment="1" applyProtection="1">
      <alignment horizontal="left" vertical="center"/>
    </xf>
    <xf numFmtId="0" fontId="46" fillId="46" borderId="35" xfId="9" applyFont="1" applyFill="1" applyBorder="1" applyAlignment="1" applyProtection="1">
      <alignment horizontal="center" vertical="center"/>
    </xf>
    <xf numFmtId="2" fontId="46" fillId="46" borderId="18" xfId="9" applyNumberFormat="1" applyFont="1" applyFill="1" applyBorder="1" applyAlignment="1" applyProtection="1">
      <alignment horizontal="center" vertical="center"/>
    </xf>
    <xf numFmtId="0" fontId="50" fillId="35" borderId="6" xfId="9" applyFont="1" applyFill="1" applyBorder="1" applyProtection="1"/>
    <xf numFmtId="0" fontId="50" fillId="35" borderId="7" xfId="9" applyFont="1" applyFill="1" applyBorder="1" applyProtection="1"/>
    <xf numFmtId="0" fontId="50" fillId="35" borderId="1" xfId="9" applyFont="1" applyFill="1" applyBorder="1" applyProtection="1"/>
    <xf numFmtId="0" fontId="50" fillId="35" borderId="0" xfId="9" applyFont="1" applyFill="1" applyBorder="1" applyProtection="1"/>
    <xf numFmtId="0" fontId="50" fillId="35" borderId="12" xfId="9" applyFont="1" applyFill="1" applyBorder="1" applyProtection="1"/>
    <xf numFmtId="0" fontId="47" fillId="35" borderId="10" xfId="9" applyFont="1" applyFill="1" applyBorder="1" applyProtection="1"/>
    <xf numFmtId="0" fontId="50" fillId="35" borderId="10" xfId="9" applyFont="1" applyFill="1" applyBorder="1" applyProtection="1"/>
    <xf numFmtId="3" fontId="51" fillId="33" borderId="36" xfId="2" applyNumberFormat="1" applyFont="1" applyFill="1" applyBorder="1" applyAlignment="1" applyProtection="1">
      <alignment horizontal="center"/>
      <protection locked="0"/>
    </xf>
    <xf numFmtId="3" fontId="51" fillId="33" borderId="8" xfId="0" applyNumberFormat="1" applyFont="1" applyFill="1" applyBorder="1" applyAlignment="1" applyProtection="1">
      <alignment horizontal="center"/>
    </xf>
    <xf numFmtId="10" fontId="51" fillId="33" borderId="34" xfId="36" applyNumberFormat="1" applyFont="1" applyFill="1" applyBorder="1" applyAlignment="1" applyProtection="1">
      <alignment horizontal="center"/>
    </xf>
    <xf numFmtId="0" fontId="51" fillId="33" borderId="9" xfId="9" applyFont="1" applyFill="1" applyBorder="1" applyAlignment="1" applyProtection="1">
      <alignment horizontal="center"/>
    </xf>
    <xf numFmtId="3" fontId="51" fillId="33" borderId="34" xfId="2" applyNumberFormat="1" applyFont="1" applyFill="1" applyBorder="1" applyAlignment="1" applyProtection="1">
      <alignment horizontal="center"/>
    </xf>
    <xf numFmtId="3" fontId="51" fillId="33" borderId="9" xfId="0" applyNumberFormat="1" applyFont="1" applyFill="1" applyBorder="1" applyAlignment="1" applyProtection="1">
      <alignment horizontal="center"/>
    </xf>
    <xf numFmtId="10" fontId="77" fillId="33" borderId="34" xfId="9" applyNumberFormat="1" applyFont="1" applyFill="1" applyBorder="1" applyAlignment="1" applyProtection="1">
      <alignment horizontal="center"/>
    </xf>
    <xf numFmtId="3" fontId="51" fillId="33" borderId="37" xfId="9" applyNumberFormat="1" applyFont="1" applyFill="1" applyBorder="1" applyAlignment="1" applyProtection="1">
      <alignment horizontal="center"/>
    </xf>
    <xf numFmtId="3" fontId="51" fillId="33" borderId="11" xfId="0" applyNumberFormat="1" applyFont="1" applyFill="1" applyBorder="1" applyAlignment="1" applyProtection="1">
      <alignment horizontal="center"/>
    </xf>
    <xf numFmtId="3" fontId="51" fillId="33" borderId="36" xfId="9" applyNumberFormat="1" applyFont="1" applyFill="1" applyBorder="1" applyAlignment="1" applyProtection="1">
      <alignment horizontal="center"/>
    </xf>
    <xf numFmtId="10" fontId="51" fillId="33" borderId="34" xfId="9" applyNumberFormat="1" applyFont="1" applyFill="1" applyBorder="1" applyAlignment="1" applyProtection="1">
      <alignment horizontal="center"/>
    </xf>
    <xf numFmtId="3" fontId="47" fillId="6" borderId="25" xfId="9" applyNumberFormat="1" applyFont="1" applyFill="1" applyBorder="1" applyAlignment="1" applyProtection="1">
      <alignment horizontal="right"/>
    </xf>
    <xf numFmtId="0" fontId="95" fillId="0" borderId="0" xfId="9" applyFont="1" applyFill="1" applyBorder="1" applyProtection="1">
      <protection locked="0"/>
    </xf>
    <xf numFmtId="0" fontId="84" fillId="0" borderId="6" xfId="9" applyFont="1" applyBorder="1" applyProtection="1"/>
    <xf numFmtId="0" fontId="50" fillId="0" borderId="7" xfId="0" applyFont="1" applyFill="1" applyBorder="1" applyProtection="1"/>
    <xf numFmtId="0" fontId="50" fillId="0" borderId="8" xfId="0" applyFont="1" applyFill="1" applyBorder="1" applyProtection="1"/>
    <xf numFmtId="0" fontId="84" fillId="0" borderId="12" xfId="9" applyFont="1" applyBorder="1" applyProtection="1"/>
    <xf numFmtId="0" fontId="50" fillId="0" borderId="11" xfId="0" applyFont="1" applyFill="1" applyBorder="1" applyProtection="1"/>
    <xf numFmtId="16" fontId="46" fillId="40" borderId="6" xfId="9" applyNumberFormat="1" applyFont="1" applyFill="1" applyBorder="1" applyAlignment="1" applyProtection="1">
      <alignment horizontal="center"/>
    </xf>
    <xf numFmtId="0" fontId="46" fillId="40" borderId="15" xfId="9" applyFont="1" applyFill="1" applyBorder="1" applyProtection="1"/>
    <xf numFmtId="0" fontId="50" fillId="40" borderId="16" xfId="9" applyFont="1" applyFill="1" applyBorder="1" applyProtection="1"/>
    <xf numFmtId="0" fontId="46" fillId="40" borderId="12" xfId="9" applyFont="1" applyFill="1" applyBorder="1" applyAlignment="1" applyProtection="1">
      <alignment horizontal="center"/>
    </xf>
    <xf numFmtId="0" fontId="46" fillId="40" borderId="12" xfId="9" applyFont="1" applyFill="1" applyBorder="1" applyProtection="1"/>
    <xf numFmtId="0" fontId="50" fillId="40" borderId="28" xfId="9" applyFont="1" applyFill="1" applyBorder="1" applyProtection="1"/>
    <xf numFmtId="0" fontId="46" fillId="40" borderId="10" xfId="9" applyFont="1" applyFill="1" applyBorder="1" applyProtection="1"/>
    <xf numFmtId="0" fontId="51" fillId="40" borderId="10" xfId="9" applyFont="1" applyFill="1" applyBorder="1" applyProtection="1"/>
    <xf numFmtId="0" fontId="51" fillId="40" borderId="28" xfId="9" applyFont="1" applyFill="1" applyBorder="1" applyProtection="1"/>
    <xf numFmtId="0" fontId="48" fillId="35" borderId="1" xfId="9" applyFont="1" applyFill="1" applyBorder="1" applyAlignment="1" applyProtection="1">
      <alignment wrapText="1"/>
    </xf>
    <xf numFmtId="0" fontId="52" fillId="35" borderId="1" xfId="9" applyFont="1" applyFill="1" applyBorder="1" applyProtection="1"/>
    <xf numFmtId="3" fontId="48" fillId="35" borderId="25" xfId="9" applyNumberFormat="1" applyFont="1" applyFill="1" applyBorder="1" applyProtection="1"/>
    <xf numFmtId="9" fontId="47" fillId="35" borderId="25" xfId="9" applyNumberFormat="1" applyFont="1" applyFill="1" applyBorder="1" applyAlignment="1" applyProtection="1">
      <alignment horizontal="center"/>
    </xf>
    <xf numFmtId="3" fontId="50" fillId="35" borderId="12" xfId="9" applyNumberFormat="1" applyFont="1" applyFill="1" applyBorder="1" applyProtection="1"/>
    <xf numFmtId="3" fontId="47" fillId="35" borderId="30" xfId="9" applyNumberFormat="1" applyFont="1" applyFill="1" applyBorder="1" applyProtection="1"/>
    <xf numFmtId="0" fontId="54" fillId="0" borderId="0" xfId="0" applyFont="1" applyFill="1" applyAlignment="1" applyProtection="1">
      <alignment horizontal="left"/>
      <protection locked="0"/>
    </xf>
    <xf numFmtId="180" fontId="52" fillId="33" borderId="187" xfId="333" applyNumberFormat="1" applyFont="1" applyFill="1" applyBorder="1" applyAlignment="1" applyProtection="1">
      <alignment horizontal="right" wrapText="1"/>
    </xf>
    <xf numFmtId="180" fontId="52" fillId="33" borderId="171" xfId="333" applyNumberFormat="1" applyFont="1" applyFill="1" applyBorder="1" applyAlignment="1" applyProtection="1">
      <alignment horizontal="right" wrapText="1"/>
    </xf>
    <xf numFmtId="180" fontId="52" fillId="33" borderId="33" xfId="333" applyNumberFormat="1" applyFont="1" applyFill="1" applyBorder="1" applyAlignment="1" applyProtection="1">
      <alignment horizontal="right" wrapText="1"/>
    </xf>
    <xf numFmtId="180" fontId="52" fillId="33" borderId="236" xfId="333" applyNumberFormat="1" applyFont="1" applyFill="1" applyBorder="1" applyAlignment="1" applyProtection="1">
      <alignment horizontal="right" wrapText="1"/>
    </xf>
    <xf numFmtId="180" fontId="52" fillId="33" borderId="237" xfId="333" applyNumberFormat="1" applyFont="1" applyFill="1" applyBorder="1" applyAlignment="1" applyProtection="1">
      <alignment horizontal="right" wrapText="1"/>
    </xf>
    <xf numFmtId="180" fontId="52" fillId="33" borderId="238" xfId="333" applyNumberFormat="1" applyFont="1" applyFill="1" applyBorder="1" applyAlignment="1" applyProtection="1">
      <alignment horizontal="right" wrapText="1"/>
    </xf>
    <xf numFmtId="180" fontId="52" fillId="33" borderId="25" xfId="333" applyNumberFormat="1" applyFont="1" applyFill="1" applyBorder="1" applyAlignment="1" applyProtection="1">
      <alignment horizontal="right" wrapText="1"/>
    </xf>
    <xf numFmtId="180" fontId="52" fillId="33" borderId="31" xfId="333" applyNumberFormat="1" applyFont="1" applyFill="1" applyBorder="1" applyAlignment="1" applyProtection="1">
      <alignment horizontal="right" wrapText="1"/>
    </xf>
    <xf numFmtId="3" fontId="70" fillId="0" borderId="0" xfId="333" applyNumberFormat="1" applyFont="1" applyFill="1" applyBorder="1" applyAlignment="1" applyProtection="1">
      <protection locked="0"/>
    </xf>
    <xf numFmtId="3" fontId="77" fillId="0" borderId="0" xfId="333" applyNumberFormat="1" applyFont="1" applyFill="1" applyBorder="1" applyProtection="1">
      <protection locked="0"/>
    </xf>
    <xf numFmtId="16" fontId="70" fillId="35" borderId="188" xfId="0" applyNumberFormat="1" applyFont="1" applyFill="1" applyBorder="1" applyProtection="1"/>
    <xf numFmtId="16" fontId="70" fillId="37" borderId="160" xfId="0" applyNumberFormat="1" applyFont="1" applyFill="1" applyBorder="1" applyProtection="1"/>
    <xf numFmtId="0" fontId="47" fillId="37" borderId="158" xfId="0" applyFont="1" applyFill="1" applyBorder="1" applyProtection="1"/>
    <xf numFmtId="3" fontId="48" fillId="37" borderId="159" xfId="0" applyNumberFormat="1" applyFont="1" applyFill="1" applyBorder="1" applyProtection="1"/>
    <xf numFmtId="3" fontId="47" fillId="30" borderId="160" xfId="0" applyNumberFormat="1" applyFont="1" applyFill="1" applyBorder="1" applyAlignment="1" applyProtection="1"/>
    <xf numFmtId="3" fontId="47" fillId="30" borderId="158" xfId="0" applyNumberFormat="1" applyFont="1" applyFill="1" applyBorder="1" applyAlignment="1" applyProtection="1"/>
    <xf numFmtId="3" fontId="47" fillId="30" borderId="159" xfId="0" applyNumberFormat="1" applyFont="1" applyFill="1" applyBorder="1" applyAlignment="1" applyProtection="1"/>
    <xf numFmtId="16" fontId="50" fillId="35" borderId="188" xfId="0" applyNumberFormat="1" applyFont="1" applyFill="1" applyBorder="1" applyProtection="1"/>
    <xf numFmtId="3" fontId="48" fillId="33" borderId="188" xfId="0" applyNumberFormat="1" applyFont="1" applyFill="1" applyBorder="1" applyAlignment="1" applyProtection="1"/>
    <xf numFmtId="182" fontId="56" fillId="39" borderId="0" xfId="0" applyNumberFormat="1" applyFont="1" applyFill="1" applyBorder="1" applyAlignment="1" applyProtection="1">
      <alignment horizontal="center"/>
    </xf>
    <xf numFmtId="182" fontId="56" fillId="3" borderId="121" xfId="0" applyNumberFormat="1" applyFont="1" applyFill="1" applyBorder="1" applyAlignment="1" applyProtection="1">
      <alignment horizontal="center"/>
      <protection locked="0"/>
    </xf>
    <xf numFmtId="183" fontId="55" fillId="0" borderId="130" xfId="36" applyNumberFormat="1" applyFont="1" applyFill="1" applyBorder="1" applyAlignment="1" applyProtection="1">
      <alignment horizontal="center"/>
    </xf>
    <xf numFmtId="0" fontId="47" fillId="42" borderId="235" xfId="333" applyFont="1" applyFill="1" applyBorder="1" applyAlignment="1" applyProtection="1">
      <alignment horizontal="center"/>
    </xf>
    <xf numFmtId="0" fontId="49" fillId="40" borderId="45" xfId="0" applyFont="1" applyFill="1" applyBorder="1" applyAlignment="1" applyProtection="1">
      <alignment vertical="center"/>
    </xf>
    <xf numFmtId="0" fontId="97" fillId="51" borderId="0" xfId="333" applyFont="1" applyFill="1" applyBorder="1"/>
    <xf numFmtId="0" fontId="97" fillId="51" borderId="0" xfId="333" applyFont="1" applyFill="1" applyBorder="1" applyAlignment="1">
      <alignment horizontal="right"/>
    </xf>
    <xf numFmtId="0" fontId="97" fillId="51" borderId="0" xfId="333" applyFont="1" applyFill="1" applyBorder="1" applyAlignment="1">
      <alignment horizontal="center"/>
    </xf>
    <xf numFmtId="0" fontId="97" fillId="51" borderId="0" xfId="333" applyFont="1" applyFill="1" applyBorder="1" applyAlignment="1">
      <alignment horizontal="left"/>
    </xf>
    <xf numFmtId="0" fontId="98" fillId="51" borderId="0" xfId="333" applyFont="1" applyFill="1" applyBorder="1" applyAlignment="1">
      <alignment horizontal="left"/>
    </xf>
    <xf numFmtId="0" fontId="98" fillId="51" borderId="0" xfId="333" applyFont="1" applyFill="1" applyBorder="1"/>
    <xf numFmtId="0" fontId="97" fillId="51" borderId="0" xfId="333" applyFont="1" applyFill="1" applyBorder="1" applyAlignment="1"/>
    <xf numFmtId="0" fontId="97" fillId="0" borderId="0" xfId="333" applyFont="1" applyFill="1" applyBorder="1"/>
    <xf numFmtId="0" fontId="49" fillId="40" borderId="61" xfId="0" applyFont="1" applyFill="1" applyBorder="1" applyAlignment="1" applyProtection="1">
      <alignment horizontal="center" vertical="center"/>
    </xf>
    <xf numFmtId="0" fontId="84" fillId="0" borderId="160" xfId="9" applyFont="1" applyFill="1" applyBorder="1" applyProtection="1"/>
    <xf numFmtId="0" fontId="46" fillId="40" borderId="7" xfId="0" applyFont="1" applyFill="1" applyBorder="1" applyAlignment="1" applyProtection="1">
      <alignment horizontal="left"/>
    </xf>
    <xf numFmtId="0" fontId="99" fillId="40" borderId="44" xfId="0" applyFont="1" applyFill="1" applyBorder="1" applyAlignment="1" applyProtection="1">
      <alignment horizontal="left"/>
    </xf>
    <xf numFmtId="0" fontId="55" fillId="40" borderId="10" xfId="0" applyNumberFormat="1" applyFont="1" applyFill="1" applyBorder="1" applyAlignment="1" applyProtection="1">
      <alignment horizontal="left"/>
    </xf>
    <xf numFmtId="3" fontId="48" fillId="32" borderId="110" xfId="0" applyNumberFormat="1" applyFont="1" applyFill="1" applyBorder="1" applyProtection="1">
      <protection locked="0"/>
    </xf>
    <xf numFmtId="1" fontId="52" fillId="33" borderId="126" xfId="0" applyNumberFormat="1" applyFont="1" applyFill="1" applyBorder="1" applyAlignment="1" applyProtection="1">
      <alignment horizontal="center"/>
    </xf>
    <xf numFmtId="1" fontId="52" fillId="33" borderId="128" xfId="0" applyNumberFormat="1" applyFont="1" applyFill="1" applyBorder="1" applyAlignment="1" applyProtection="1">
      <alignment horizontal="center"/>
    </xf>
    <xf numFmtId="1" fontId="52" fillId="33" borderId="239" xfId="0" applyNumberFormat="1" applyFont="1" applyFill="1" applyBorder="1" applyAlignment="1" applyProtection="1">
      <alignment horizontal="center"/>
    </xf>
    <xf numFmtId="3" fontId="48" fillId="3" borderId="39" xfId="12" applyNumberFormat="1" applyFont="1" applyFill="1" applyBorder="1" applyProtection="1">
      <protection locked="0"/>
    </xf>
    <xf numFmtId="3" fontId="48" fillId="3" borderId="53" xfId="12" applyNumberFormat="1" applyFont="1" applyFill="1" applyBorder="1" applyProtection="1">
      <protection locked="0"/>
    </xf>
    <xf numFmtId="3" fontId="48" fillId="3" borderId="240" xfId="12" applyNumberFormat="1" applyFont="1" applyFill="1" applyBorder="1" applyProtection="1">
      <protection locked="0"/>
    </xf>
    <xf numFmtId="3" fontId="48" fillId="3" borderId="51" xfId="12" applyNumberFormat="1" applyFont="1" applyFill="1" applyBorder="1" applyProtection="1">
      <protection locked="0"/>
    </xf>
    <xf numFmtId="3" fontId="48" fillId="3" borderId="228" xfId="12" applyNumberFormat="1" applyFont="1" applyFill="1" applyBorder="1" applyProtection="1">
      <protection locked="0"/>
    </xf>
    <xf numFmtId="173" fontId="55" fillId="34" borderId="184" xfId="0" applyNumberFormat="1" applyFont="1" applyFill="1" applyBorder="1" applyAlignment="1">
      <alignment horizontal="center" vertical="center"/>
    </xf>
    <xf numFmtId="0" fontId="52" fillId="35" borderId="158" xfId="0" applyFont="1" applyFill="1" applyBorder="1" applyAlignment="1" applyProtection="1">
      <alignment horizontal="left" vertical="center"/>
    </xf>
    <xf numFmtId="1" fontId="52" fillId="33" borderId="241" xfId="0" applyNumberFormat="1" applyFont="1" applyFill="1" applyBorder="1" applyAlignment="1" applyProtection="1">
      <alignment horizontal="center"/>
    </xf>
    <xf numFmtId="1" fontId="55" fillId="33" borderId="242" xfId="0" applyNumberFormat="1" applyFont="1" applyFill="1" applyBorder="1" applyAlignment="1">
      <alignment horizontal="center"/>
    </xf>
    <xf numFmtId="1" fontId="55" fillId="33" borderId="243" xfId="0" applyNumberFormat="1" applyFont="1" applyFill="1" applyBorder="1" applyAlignment="1">
      <alignment horizontal="center"/>
    </xf>
    <xf numFmtId="173" fontId="55" fillId="34" borderId="51" xfId="0" applyNumberFormat="1" applyFont="1" applyFill="1" applyBorder="1" applyAlignment="1">
      <alignment horizontal="center" vertical="center"/>
    </xf>
    <xf numFmtId="0" fontId="52" fillId="35" borderId="7" xfId="0" applyFont="1" applyFill="1" applyBorder="1" applyAlignment="1" applyProtection="1">
      <alignment horizontal="left" vertical="center"/>
    </xf>
    <xf numFmtId="1" fontId="52" fillId="33" borderId="250" xfId="0" applyNumberFormat="1" applyFont="1" applyFill="1" applyBorder="1" applyAlignment="1" applyProtection="1">
      <alignment horizontal="center"/>
    </xf>
    <xf numFmtId="0" fontId="50" fillId="35" borderId="6" xfId="0" applyFont="1" applyFill="1" applyBorder="1" applyAlignment="1" applyProtection="1">
      <alignment vertical="center" textRotation="90"/>
    </xf>
    <xf numFmtId="0" fontId="50" fillId="35" borderId="1" xfId="0" applyFont="1" applyFill="1" applyBorder="1" applyAlignment="1" applyProtection="1">
      <alignment vertical="center" textRotation="90"/>
    </xf>
    <xf numFmtId="0" fontId="50" fillId="35" borderId="1" xfId="0" applyFont="1" applyFill="1" applyBorder="1" applyAlignment="1" applyProtection="1">
      <alignment vertical="center" textRotation="90" wrapText="1"/>
    </xf>
    <xf numFmtId="0" fontId="50" fillId="35" borderId="6" xfId="0" applyFont="1" applyFill="1" applyBorder="1" applyAlignment="1" applyProtection="1">
      <alignment vertical="center" textRotation="90" wrapText="1"/>
    </xf>
    <xf numFmtId="0" fontId="50" fillId="35" borderId="160" xfId="0" applyFont="1" applyFill="1" applyBorder="1" applyAlignment="1" applyProtection="1">
      <alignment vertical="center" textRotation="90" wrapText="1"/>
    </xf>
    <xf numFmtId="16" fontId="48" fillId="35" borderId="178" xfId="333" applyNumberFormat="1" applyFont="1" applyFill="1" applyBorder="1" applyAlignment="1" applyProtection="1">
      <alignment horizontal="center" vertical="center"/>
    </xf>
    <xf numFmtId="0" fontId="47" fillId="6" borderId="19" xfId="333" applyFont="1" applyFill="1" applyBorder="1" applyAlignment="1" applyProtection="1">
      <alignment horizontal="center"/>
    </xf>
    <xf numFmtId="0" fontId="47" fillId="6" borderId="235" xfId="333" applyFont="1" applyFill="1" applyBorder="1" applyProtection="1"/>
    <xf numFmtId="3" fontId="47" fillId="6" borderId="19" xfId="333" applyNumberFormat="1" applyFont="1" applyFill="1" applyBorder="1" applyProtection="1"/>
    <xf numFmtId="3" fontId="47" fillId="6" borderId="235" xfId="333" applyNumberFormat="1" applyFont="1" applyFill="1" applyBorder="1" applyProtection="1"/>
    <xf numFmtId="3" fontId="47" fillId="6" borderId="234" xfId="333" applyNumberFormat="1" applyFont="1" applyFill="1" applyBorder="1" applyProtection="1"/>
    <xf numFmtId="3" fontId="48" fillId="6" borderId="235" xfId="333" applyNumberFormat="1" applyFont="1" applyFill="1" applyBorder="1" applyProtection="1"/>
    <xf numFmtId="0" fontId="62" fillId="0" borderId="1" xfId="333" applyFont="1" applyFill="1" applyBorder="1" applyProtection="1"/>
    <xf numFmtId="0" fontId="53" fillId="0" borderId="0" xfId="333" applyFont="1" applyFill="1" applyBorder="1" applyProtection="1"/>
    <xf numFmtId="0" fontId="69" fillId="0" borderId="163" xfId="9" applyFont="1" applyFill="1" applyBorder="1" applyProtection="1"/>
    <xf numFmtId="3" fontId="52" fillId="0" borderId="164" xfId="333" applyNumberFormat="1" applyFont="1" applyFill="1" applyBorder="1" applyProtection="1"/>
    <xf numFmtId="0" fontId="62" fillId="0" borderId="0" xfId="333" applyFont="1" applyFill="1" applyBorder="1" applyProtection="1"/>
    <xf numFmtId="0" fontId="69" fillId="0" borderId="9" xfId="333" applyFont="1" applyFill="1" applyBorder="1" applyProtection="1"/>
    <xf numFmtId="0" fontId="48" fillId="55" borderId="238" xfId="0" applyFont="1" applyFill="1" applyBorder="1" applyAlignment="1" applyProtection="1">
      <alignment horizontal="center"/>
    </xf>
    <xf numFmtId="0" fontId="47" fillId="54" borderId="182" xfId="0" applyFont="1" applyFill="1" applyBorder="1" applyAlignment="1" applyProtection="1">
      <alignment horizontal="center" vertical="center" wrapText="1"/>
    </xf>
    <xf numFmtId="0" fontId="47" fillId="54" borderId="189" xfId="0" applyFont="1" applyFill="1" applyBorder="1" applyAlignment="1" applyProtection="1">
      <alignment horizontal="center" vertical="center" wrapText="1"/>
    </xf>
    <xf numFmtId="0" fontId="47" fillId="55" borderId="171" xfId="0" applyFont="1" applyFill="1" applyBorder="1" applyAlignment="1" applyProtection="1">
      <alignment horizontal="center" vertical="center" wrapText="1"/>
    </xf>
    <xf numFmtId="0" fontId="61" fillId="0" borderId="0" xfId="0" applyFont="1" applyFill="1" applyProtection="1">
      <protection locked="0"/>
    </xf>
    <xf numFmtId="184" fontId="48" fillId="32" borderId="179" xfId="341" applyNumberFormat="1" applyFont="1" applyFill="1" applyBorder="1" applyAlignment="1" applyProtection="1">
      <alignment horizontal="right" vertical="center"/>
      <protection locked="0"/>
    </xf>
    <xf numFmtId="184" fontId="48" fillId="32" borderId="36" xfId="341" applyNumberFormat="1" applyFont="1" applyFill="1" applyBorder="1" applyAlignment="1" applyProtection="1">
      <alignment horizontal="right" vertical="center"/>
      <protection locked="0"/>
    </xf>
    <xf numFmtId="185" fontId="48" fillId="32" borderId="24" xfId="341" applyNumberFormat="1" applyFont="1" applyFill="1" applyBorder="1" applyAlignment="1" applyProtection="1">
      <alignment horizontal="right" vertical="center"/>
      <protection locked="0"/>
    </xf>
    <xf numFmtId="185" fontId="48" fillId="32" borderId="36" xfId="341" applyNumberFormat="1" applyFont="1" applyFill="1" applyBorder="1" applyAlignment="1" applyProtection="1">
      <alignment horizontal="right" vertical="center"/>
      <protection locked="0"/>
    </xf>
    <xf numFmtId="184" fontId="55" fillId="0" borderId="0" xfId="0" applyNumberFormat="1" applyFont="1" applyProtection="1">
      <protection locked="0"/>
    </xf>
    <xf numFmtId="170" fontId="55" fillId="32" borderId="179" xfId="0" applyNumberFormat="1" applyFont="1" applyFill="1" applyBorder="1" applyProtection="1">
      <protection locked="0"/>
    </xf>
    <xf numFmtId="170" fontId="55" fillId="32" borderId="36" xfId="0" applyNumberFormat="1" applyFont="1" applyFill="1" applyBorder="1" applyProtection="1">
      <protection locked="0"/>
    </xf>
    <xf numFmtId="170" fontId="55" fillId="32" borderId="24" xfId="0" applyNumberFormat="1" applyFont="1" applyFill="1" applyBorder="1" applyProtection="1">
      <protection locked="0"/>
    </xf>
    <xf numFmtId="184" fontId="48" fillId="32" borderId="62" xfId="341" applyNumberFormat="1" applyFont="1" applyFill="1" applyBorder="1" applyAlignment="1" applyProtection="1">
      <alignment horizontal="right" vertical="center"/>
      <protection locked="0"/>
    </xf>
    <xf numFmtId="184" fontId="48" fillId="32" borderId="34" xfId="341" applyNumberFormat="1" applyFont="1" applyFill="1" applyBorder="1" applyAlignment="1" applyProtection="1">
      <alignment horizontal="right" vertical="center"/>
      <protection locked="0"/>
    </xf>
    <xf numFmtId="185" fontId="48" fillId="32" borderId="25" xfId="341" applyNumberFormat="1" applyFont="1" applyFill="1" applyBorder="1" applyAlignment="1" applyProtection="1">
      <alignment horizontal="right" vertical="center"/>
      <protection locked="0"/>
    </xf>
    <xf numFmtId="185" fontId="48" fillId="32" borderId="34" xfId="341" applyNumberFormat="1" applyFont="1" applyFill="1" applyBorder="1" applyAlignment="1" applyProtection="1">
      <alignment horizontal="right" vertical="center"/>
      <protection locked="0"/>
    </xf>
    <xf numFmtId="170" fontId="55" fillId="32" borderId="62" xfId="0" applyNumberFormat="1" applyFont="1" applyFill="1" applyBorder="1" applyProtection="1">
      <protection locked="0"/>
    </xf>
    <xf numFmtId="170" fontId="55" fillId="32" borderId="34" xfId="0" applyNumberFormat="1" applyFont="1" applyFill="1" applyBorder="1" applyProtection="1">
      <protection locked="0"/>
    </xf>
    <xf numFmtId="170" fontId="55" fillId="32" borderId="25" xfId="0" applyNumberFormat="1" applyFont="1" applyFill="1" applyBorder="1" applyProtection="1">
      <protection locked="0"/>
    </xf>
    <xf numFmtId="184" fontId="48" fillId="32" borderId="182" xfId="341" applyNumberFormat="1" applyFont="1" applyFill="1" applyBorder="1" applyAlignment="1" applyProtection="1">
      <alignment horizontal="right" vertical="center"/>
      <protection locked="0"/>
    </xf>
    <xf numFmtId="184" fontId="48" fillId="32" borderId="189" xfId="341" applyNumberFormat="1" applyFont="1" applyFill="1" applyBorder="1" applyAlignment="1" applyProtection="1">
      <alignment horizontal="right" vertical="center"/>
      <protection locked="0"/>
    </xf>
    <xf numFmtId="185" fontId="48" fillId="32" borderId="171" xfId="341" applyNumberFormat="1" applyFont="1" applyFill="1" applyBorder="1" applyAlignment="1" applyProtection="1">
      <alignment horizontal="right" vertical="center"/>
      <protection locked="0"/>
    </xf>
    <xf numFmtId="185" fontId="48" fillId="32" borderId="189" xfId="341" applyNumberFormat="1" applyFont="1" applyFill="1" applyBorder="1" applyAlignment="1" applyProtection="1">
      <alignment horizontal="right" vertical="center"/>
      <protection locked="0"/>
    </xf>
    <xf numFmtId="170" fontId="55" fillId="32" borderId="182" xfId="0" applyNumberFormat="1" applyFont="1" applyFill="1" applyBorder="1" applyProtection="1">
      <protection locked="0"/>
    </xf>
    <xf numFmtId="170" fontId="55" fillId="32" borderId="189" xfId="0" applyNumberFormat="1" applyFont="1" applyFill="1" applyBorder="1" applyProtection="1">
      <protection locked="0"/>
    </xf>
    <xf numFmtId="170" fontId="55" fillId="32" borderId="171" xfId="0" applyNumberFormat="1" applyFont="1" applyFill="1" applyBorder="1" applyProtection="1">
      <protection locked="0"/>
    </xf>
    <xf numFmtId="170" fontId="55" fillId="0" borderId="0" xfId="0" applyNumberFormat="1" applyFont="1" applyFill="1" applyProtection="1">
      <protection locked="0"/>
    </xf>
    <xf numFmtId="170" fontId="55" fillId="0" borderId="0" xfId="0" applyNumberFormat="1" applyFont="1" applyProtection="1">
      <protection locked="0"/>
    </xf>
    <xf numFmtId="0" fontId="48" fillId="4" borderId="1" xfId="0" applyFont="1" applyFill="1" applyBorder="1" applyAlignment="1" applyProtection="1">
      <alignment horizontal="center" vertical="center"/>
    </xf>
    <xf numFmtId="0" fontId="48" fillId="4" borderId="160" xfId="0" applyFont="1" applyFill="1" applyBorder="1" applyAlignment="1" applyProtection="1">
      <alignment horizontal="center" vertical="center"/>
    </xf>
    <xf numFmtId="0" fontId="62" fillId="0" borderId="0" xfId="0" applyFont="1" applyAlignment="1" applyProtection="1">
      <alignment horizontal="right"/>
    </xf>
    <xf numFmtId="0" fontId="55" fillId="4" borderId="6" xfId="0" applyFont="1" applyFill="1" applyBorder="1" applyAlignment="1" applyProtection="1">
      <alignment horizontal="center"/>
    </xf>
    <xf numFmtId="0" fontId="55" fillId="4" borderId="1" xfId="0" applyFont="1" applyFill="1" applyBorder="1" applyAlignment="1" applyProtection="1">
      <alignment horizontal="center"/>
    </xf>
    <xf numFmtId="0" fontId="55" fillId="4" borderId="160" xfId="0" applyFont="1" applyFill="1" applyBorder="1" applyAlignment="1" applyProtection="1">
      <alignment horizontal="center"/>
    </xf>
    <xf numFmtId="0" fontId="101" fillId="0" borderId="238" xfId="0" applyFont="1" applyFill="1" applyBorder="1" applyAlignment="1" applyProtection="1">
      <alignment horizontal="center" vertical="center" wrapText="1"/>
    </xf>
    <xf numFmtId="0" fontId="48" fillId="0" borderId="7" xfId="9" applyFont="1" applyFill="1" applyBorder="1" applyProtection="1"/>
    <xf numFmtId="0" fontId="48" fillId="0" borderId="8" xfId="9" applyFont="1" applyFill="1" applyBorder="1" applyProtection="1"/>
    <xf numFmtId="0" fontId="48" fillId="0" borderId="158" xfId="9" applyFont="1" applyFill="1" applyBorder="1" applyProtection="1"/>
    <xf numFmtId="0" fontId="48" fillId="0" borderId="159" xfId="9" applyFont="1" applyFill="1" applyBorder="1" applyProtection="1"/>
    <xf numFmtId="0" fontId="48" fillId="0" borderId="0" xfId="9" applyFont="1" applyFill="1" applyBorder="1" applyProtection="1"/>
    <xf numFmtId="0" fontId="48" fillId="0" borderId="9" xfId="9" applyFont="1" applyFill="1" applyBorder="1" applyProtection="1"/>
    <xf numFmtId="0" fontId="84" fillId="0" borderId="1" xfId="0" applyFont="1" applyFill="1" applyBorder="1" applyProtection="1"/>
    <xf numFmtId="0" fontId="84" fillId="0" borderId="160" xfId="0" applyFont="1" applyFill="1" applyBorder="1" applyProtection="1"/>
    <xf numFmtId="0" fontId="46" fillId="0" borderId="158" xfId="0" applyFont="1" applyFill="1" applyBorder="1" applyAlignment="1" applyProtection="1">
      <alignment horizontal="left" vertical="center"/>
    </xf>
    <xf numFmtId="0" fontId="50" fillId="0" borderId="158" xfId="0" applyFont="1" applyBorder="1" applyProtection="1"/>
    <xf numFmtId="0" fontId="50" fillId="0" borderId="159" xfId="0" applyFont="1" applyBorder="1" applyProtection="1"/>
    <xf numFmtId="0" fontId="46" fillId="0" borderId="0" xfId="0" applyFont="1" applyFill="1" applyBorder="1" applyAlignment="1" applyProtection="1">
      <alignment horizontal="left" vertical="center"/>
    </xf>
    <xf numFmtId="0" fontId="50" fillId="0" borderId="9" xfId="0" applyFont="1" applyBorder="1" applyProtection="1"/>
    <xf numFmtId="0" fontId="84" fillId="0" borderId="1" xfId="9" applyFont="1" applyBorder="1" applyProtection="1"/>
    <xf numFmtId="0" fontId="55" fillId="0" borderId="7" xfId="0" applyFont="1" applyBorder="1" applyProtection="1">
      <protection locked="0"/>
    </xf>
    <xf numFmtId="0" fontId="55" fillId="0" borderId="8" xfId="0" applyFont="1" applyBorder="1" applyProtection="1">
      <protection locked="0"/>
    </xf>
    <xf numFmtId="0" fontId="67" fillId="0" borderId="0" xfId="0" applyFont="1" applyAlignment="1">
      <alignment vertical="center" wrapText="1"/>
    </xf>
    <xf numFmtId="0" fontId="54" fillId="2" borderId="84" xfId="0" applyFont="1" applyFill="1" applyBorder="1" applyAlignment="1" applyProtection="1">
      <alignment horizontal="left"/>
    </xf>
    <xf numFmtId="0" fontId="48" fillId="35" borderId="165" xfId="0" applyFont="1" applyFill="1" applyBorder="1" applyProtection="1"/>
    <xf numFmtId="3" fontId="48" fillId="35" borderId="166" xfId="0" applyNumberFormat="1" applyFont="1" applyFill="1" applyBorder="1" applyProtection="1"/>
    <xf numFmtId="3" fontId="48" fillId="33" borderId="165" xfId="0" applyNumberFormat="1" applyFont="1" applyFill="1" applyBorder="1" applyAlignment="1" applyProtection="1"/>
    <xf numFmtId="3" fontId="48" fillId="33" borderId="166" xfId="0" applyNumberFormat="1" applyFont="1" applyFill="1" applyBorder="1" applyAlignment="1" applyProtection="1"/>
    <xf numFmtId="16" fontId="50" fillId="6" borderId="160" xfId="40" applyNumberFormat="1" applyFont="1" applyFill="1" applyBorder="1" applyProtection="1"/>
    <xf numFmtId="0" fontId="47" fillId="6" borderId="158" xfId="40" applyFont="1" applyFill="1" applyBorder="1" applyProtection="1"/>
    <xf numFmtId="3" fontId="47" fillId="6" borderId="171" xfId="40" applyNumberFormat="1" applyFont="1" applyFill="1" applyBorder="1" applyProtection="1"/>
    <xf numFmtId="3" fontId="47" fillId="6" borderId="159" xfId="40" applyNumberFormat="1" applyFont="1" applyFill="1" applyBorder="1" applyProtection="1"/>
    <xf numFmtId="16" fontId="50" fillId="35" borderId="188" xfId="40" quotePrefix="1" applyNumberFormat="1" applyFont="1" applyFill="1" applyBorder="1" applyProtection="1"/>
    <xf numFmtId="0" fontId="48" fillId="35" borderId="165" xfId="40" applyNumberFormat="1" applyFont="1" applyFill="1" applyBorder="1" applyProtection="1"/>
    <xf numFmtId="3" fontId="47" fillId="33" borderId="187" xfId="40" applyNumberFormat="1" applyFont="1" applyFill="1" applyBorder="1" applyProtection="1"/>
    <xf numFmtId="16" fontId="70" fillId="37" borderId="160" xfId="40" applyNumberFormat="1" applyFont="1" applyFill="1" applyBorder="1" applyProtection="1"/>
    <xf numFmtId="0" fontId="47" fillId="37" borderId="158" xfId="40" applyFont="1" applyFill="1" applyBorder="1" applyProtection="1"/>
    <xf numFmtId="3" fontId="47" fillId="37" borderId="171" xfId="40" applyNumberFormat="1" applyFont="1" applyFill="1" applyBorder="1" applyProtection="1"/>
    <xf numFmtId="3" fontId="47" fillId="37" borderId="159" xfId="40" applyNumberFormat="1" applyFont="1" applyFill="1" applyBorder="1" applyProtection="1"/>
    <xf numFmtId="16" fontId="70" fillId="35" borderId="188" xfId="40" quotePrefix="1" applyNumberFormat="1" applyFont="1" applyFill="1" applyBorder="1" applyProtection="1"/>
    <xf numFmtId="16" fontId="50" fillId="30" borderId="160" xfId="40" applyNumberFormat="1" applyFont="1" applyFill="1" applyBorder="1" applyProtection="1"/>
    <xf numFmtId="0" fontId="47" fillId="30" borderId="158" xfId="40" applyFont="1" applyFill="1" applyBorder="1" applyProtection="1"/>
    <xf numFmtId="3" fontId="47" fillId="30" borderId="171" xfId="40" applyNumberFormat="1" applyFont="1" applyFill="1" applyBorder="1" applyProtection="1"/>
    <xf numFmtId="3" fontId="47" fillId="30" borderId="160" xfId="40" applyNumberFormat="1" applyFont="1" applyFill="1" applyBorder="1" applyProtection="1"/>
    <xf numFmtId="3" fontId="47" fillId="30" borderId="158" xfId="40" applyNumberFormat="1" applyFont="1" applyFill="1" applyBorder="1" applyProtection="1"/>
    <xf numFmtId="3" fontId="47" fillId="30" borderId="159" xfId="40" applyNumberFormat="1" applyFont="1" applyFill="1" applyBorder="1" applyProtection="1"/>
    <xf numFmtId="2" fontId="73" fillId="35" borderId="188" xfId="40" quotePrefix="1" applyNumberFormat="1" applyFont="1" applyFill="1" applyBorder="1" applyAlignment="1" applyProtection="1">
      <alignment horizontal="center"/>
    </xf>
    <xf numFmtId="3" fontId="48" fillId="33" borderId="188" xfId="40" applyNumberFormat="1" applyFont="1" applyFill="1" applyBorder="1" applyProtection="1"/>
    <xf numFmtId="3" fontId="48" fillId="33" borderId="165" xfId="40" applyNumberFormat="1" applyFont="1" applyFill="1" applyBorder="1" applyProtection="1"/>
    <xf numFmtId="3" fontId="48" fillId="33" borderId="166" xfId="40" applyNumberFormat="1" applyFont="1" applyFill="1" applyBorder="1" applyProtection="1"/>
    <xf numFmtId="3" fontId="48" fillId="30" borderId="159" xfId="40" applyNumberFormat="1" applyFont="1" applyFill="1" applyBorder="1" applyProtection="1"/>
    <xf numFmtId="3" fontId="48" fillId="35" borderId="166" xfId="40" applyNumberFormat="1" applyFont="1" applyFill="1" applyBorder="1" applyProtection="1"/>
    <xf numFmtId="0" fontId="47" fillId="0" borderId="1" xfId="333" applyFont="1" applyFill="1" applyBorder="1" applyAlignment="1" applyProtection="1">
      <alignment vertical="center"/>
    </xf>
    <xf numFmtId="0" fontId="48" fillId="0" borderId="1" xfId="9" applyFont="1" applyFill="1" applyBorder="1" applyProtection="1">
      <protection locked="0"/>
    </xf>
    <xf numFmtId="0" fontId="52" fillId="2" borderId="46" xfId="333" applyFont="1" applyFill="1" applyBorder="1" applyAlignment="1" applyProtection="1">
      <alignment horizontal="center" vertical="center" wrapText="1"/>
    </xf>
    <xf numFmtId="3" fontId="50" fillId="0" borderId="17" xfId="0" applyNumberFormat="1" applyFont="1" applyBorder="1" applyProtection="1">
      <protection locked="0"/>
    </xf>
    <xf numFmtId="0" fontId="49" fillId="2" borderId="44" xfId="333" applyFont="1" applyFill="1" applyBorder="1" applyAlignment="1" applyProtection="1">
      <alignment horizontal="right" vertical="center" wrapText="1"/>
    </xf>
    <xf numFmtId="0" fontId="52" fillId="2" borderId="26" xfId="333" applyFont="1" applyFill="1" applyBorder="1" applyAlignment="1" applyProtection="1">
      <alignment horizontal="center" vertical="center" wrapText="1"/>
    </xf>
    <xf numFmtId="0" fontId="52" fillId="2" borderId="47" xfId="333" applyFont="1" applyFill="1" applyBorder="1" applyAlignment="1" applyProtection="1">
      <alignment horizontal="right" wrapText="1"/>
    </xf>
    <xf numFmtId="0" fontId="52" fillId="2" borderId="255" xfId="333" applyFont="1" applyFill="1" applyBorder="1" applyAlignment="1" applyProtection="1">
      <alignment horizontal="right" wrapText="1"/>
    </xf>
    <xf numFmtId="0" fontId="49" fillId="2" borderId="236" xfId="333" applyFont="1" applyFill="1" applyBorder="1" applyAlignment="1" applyProtection="1">
      <alignment horizontal="right" vertical="center" wrapText="1"/>
    </xf>
    <xf numFmtId="0" fontId="49" fillId="2" borderId="237" xfId="333" applyFont="1" applyFill="1" applyBorder="1" applyAlignment="1" applyProtection="1">
      <alignment horizontal="center" vertical="center" wrapText="1"/>
    </xf>
    <xf numFmtId="0" fontId="52" fillId="2" borderId="238" xfId="333" applyFont="1" applyFill="1" applyBorder="1" applyAlignment="1" applyProtection="1">
      <alignment horizontal="center" vertical="center" wrapText="1"/>
    </xf>
    <xf numFmtId="0" fontId="52" fillId="2" borderId="236" xfId="333" applyFont="1" applyFill="1" applyBorder="1" applyAlignment="1" applyProtection="1">
      <alignment horizontal="center" wrapText="1"/>
    </xf>
    <xf numFmtId="0" fontId="52" fillId="2" borderId="44" xfId="333" applyFont="1" applyFill="1" applyBorder="1" applyAlignment="1" applyProtection="1">
      <alignment horizontal="center" wrapText="1"/>
    </xf>
    <xf numFmtId="0" fontId="49" fillId="2" borderId="78" xfId="333" applyFont="1" applyFill="1" applyBorder="1" applyAlignment="1" applyProtection="1">
      <alignment horizontal="right" vertical="center" wrapText="1"/>
    </xf>
    <xf numFmtId="0" fontId="49" fillId="2" borderId="47" xfId="333" applyFont="1" applyFill="1" applyBorder="1" applyAlignment="1" applyProtection="1">
      <alignment horizontal="right" wrapText="1"/>
    </xf>
    <xf numFmtId="0" fontId="52" fillId="2" borderId="47" xfId="333" applyFont="1" applyFill="1" applyBorder="1" applyAlignment="1" applyProtection="1">
      <alignment horizontal="center" wrapText="1"/>
    </xf>
    <xf numFmtId="0" fontId="52" fillId="2" borderId="255" xfId="333" applyFont="1" applyFill="1" applyBorder="1" applyAlignment="1" applyProtection="1">
      <alignment horizontal="center" wrapText="1"/>
    </xf>
    <xf numFmtId="0" fontId="52" fillId="2" borderId="78" xfId="333" applyFont="1" applyFill="1" applyBorder="1" applyAlignment="1" applyProtection="1">
      <alignment horizontal="center" wrapText="1"/>
    </xf>
    <xf numFmtId="0" fontId="55" fillId="5" borderId="121" xfId="0" applyFont="1" applyFill="1" applyBorder="1" applyAlignment="1" applyProtection="1">
      <alignment horizontal="center" vertical="center" wrapText="1"/>
      <protection locked="0"/>
    </xf>
    <xf numFmtId="0" fontId="62" fillId="0" borderId="232" xfId="333" applyFont="1" applyBorder="1" applyAlignment="1" applyProtection="1"/>
    <xf numFmtId="167" fontId="52" fillId="33" borderId="60" xfId="333" applyNumberFormat="1" applyFont="1" applyFill="1" applyBorder="1" applyAlignment="1" applyProtection="1">
      <alignment horizontal="left" vertical="center" wrapText="1"/>
    </xf>
    <xf numFmtId="167" fontId="52" fillId="33" borderId="78" xfId="333" applyNumberFormat="1" applyFont="1" applyFill="1" applyBorder="1" applyAlignment="1" applyProtection="1">
      <alignment horizontal="left" vertical="center" wrapText="1"/>
    </xf>
    <xf numFmtId="0" fontId="50" fillId="0" borderId="0" xfId="9" applyFont="1" applyBorder="1" applyProtection="1"/>
    <xf numFmtId="0" fontId="51" fillId="0" borderId="0" xfId="9" applyFont="1" applyBorder="1" applyProtection="1"/>
    <xf numFmtId="0" fontId="51" fillId="0" borderId="0" xfId="9" applyFont="1" applyBorder="1" applyAlignment="1" applyProtection="1">
      <alignment horizontal="right"/>
    </xf>
    <xf numFmtId="0" fontId="84" fillId="0" borderId="7" xfId="0" applyFont="1" applyFill="1" applyBorder="1" applyAlignment="1" applyProtection="1">
      <alignment wrapText="1"/>
      <protection locked="0"/>
    </xf>
    <xf numFmtId="0" fontId="84" fillId="0" borderId="7" xfId="0" applyFont="1" applyFill="1" applyBorder="1" applyAlignment="1" applyProtection="1">
      <protection locked="0"/>
    </xf>
    <xf numFmtId="0" fontId="103" fillId="0" borderId="0" xfId="9" applyFont="1" applyFill="1" applyBorder="1" applyAlignment="1" applyProtection="1">
      <alignment horizontal="right"/>
    </xf>
    <xf numFmtId="0" fontId="50" fillId="35" borderId="13" xfId="9" applyFont="1" applyFill="1" applyBorder="1" applyProtection="1"/>
    <xf numFmtId="0" fontId="47" fillId="35" borderId="17" xfId="9" applyFont="1" applyFill="1" applyBorder="1" applyProtection="1"/>
    <xf numFmtId="0" fontId="50" fillId="35" borderId="17" xfId="9" applyFont="1" applyFill="1" applyBorder="1" applyProtection="1"/>
    <xf numFmtId="0" fontId="54" fillId="0" borderId="0" xfId="32" applyFont="1" applyBorder="1" applyAlignment="1" applyProtection="1">
      <alignment horizontal="center"/>
      <protection locked="0"/>
    </xf>
    <xf numFmtId="49" fontId="97" fillId="0" borderId="0" xfId="333" applyNumberFormat="1" applyFont="1" applyFill="1" applyBorder="1"/>
    <xf numFmtId="0" fontId="46" fillId="0" borderId="0" xfId="0" applyFont="1" applyFill="1" applyBorder="1" applyProtection="1"/>
    <xf numFmtId="0" fontId="46" fillId="40" borderId="40" xfId="0" applyFont="1" applyFill="1" applyBorder="1" applyProtection="1"/>
    <xf numFmtId="0" fontId="0" fillId="0" borderId="0" xfId="0" applyProtection="1"/>
    <xf numFmtId="173" fontId="55" fillId="34" borderId="0" xfId="0" applyNumberFormat="1" applyFont="1" applyFill="1" applyBorder="1" applyAlignment="1" applyProtection="1">
      <alignment horizontal="center" vertical="center"/>
    </xf>
    <xf numFmtId="0" fontId="3" fillId="0" borderId="0" xfId="0" quotePrefix="1" applyFont="1" applyProtection="1"/>
    <xf numFmtId="0" fontId="67" fillId="0" borderId="0" xfId="0" applyFont="1" applyBorder="1" applyAlignment="1" applyProtection="1">
      <alignment horizontal="justify" vertical="center"/>
      <protection locked="0"/>
    </xf>
    <xf numFmtId="0" fontId="53" fillId="0" borderId="7" xfId="333" applyNumberFormat="1" applyFont="1" applyFill="1" applyBorder="1" applyAlignment="1" applyProtection="1">
      <alignment vertical="center"/>
      <protection locked="0"/>
    </xf>
    <xf numFmtId="0" fontId="53" fillId="0" borderId="0" xfId="333" applyNumberFormat="1" applyFont="1" applyFill="1" applyBorder="1" applyAlignment="1" applyProtection="1">
      <alignment vertical="center"/>
      <protection locked="0"/>
    </xf>
    <xf numFmtId="0" fontId="52" fillId="0" borderId="0" xfId="0" applyFont="1" applyProtection="1">
      <protection locked="0"/>
    </xf>
    <xf numFmtId="0" fontId="39" fillId="0" borderId="0" xfId="0" applyFont="1" applyProtection="1">
      <protection locked="0"/>
    </xf>
    <xf numFmtId="0" fontId="40" fillId="0" borderId="0" xfId="0" applyFont="1" applyProtection="1">
      <protection locked="0"/>
    </xf>
    <xf numFmtId="0" fontId="3" fillId="0" borderId="0" xfId="0" applyFont="1" applyProtection="1">
      <protection locked="0"/>
    </xf>
    <xf numFmtId="0" fontId="40" fillId="0" borderId="0" xfId="0" applyFont="1" applyAlignment="1" applyProtection="1">
      <alignment horizontal="left" vertical="center" indent="1"/>
      <protection locked="0"/>
    </xf>
    <xf numFmtId="0" fontId="3" fillId="0" borderId="0" xfId="0" applyFont="1" applyAlignment="1" applyProtection="1">
      <alignment horizontal="left" vertical="center" indent="1"/>
      <protection locked="0"/>
    </xf>
    <xf numFmtId="0" fontId="0" fillId="0" borderId="0" xfId="0" applyProtection="1">
      <protection locked="0"/>
    </xf>
    <xf numFmtId="0" fontId="41" fillId="0" borderId="0" xfId="0" applyFont="1" applyProtection="1">
      <protection locked="0"/>
    </xf>
    <xf numFmtId="173" fontId="50" fillId="0" borderId="0" xfId="13" applyNumberFormat="1" applyFont="1" applyBorder="1" applyProtection="1">
      <protection locked="0"/>
    </xf>
    <xf numFmtId="0" fontId="0" fillId="0" borderId="0" xfId="0" quotePrefix="1" applyProtection="1"/>
    <xf numFmtId="186" fontId="46" fillId="42" borderId="15" xfId="333" applyNumberFormat="1" applyFont="1" applyFill="1" applyBorder="1" applyAlignment="1" applyProtection="1">
      <alignment horizontal="left"/>
    </xf>
    <xf numFmtId="0" fontId="5" fillId="0" borderId="100" xfId="0" applyFont="1" applyBorder="1" applyProtection="1">
      <protection locked="0"/>
    </xf>
    <xf numFmtId="0" fontId="47" fillId="40" borderId="98" xfId="0" applyFont="1" applyFill="1" applyBorder="1" applyAlignment="1" applyProtection="1">
      <alignment horizontal="center"/>
    </xf>
    <xf numFmtId="0" fontId="49" fillId="40" borderId="100" xfId="0" applyFont="1" applyFill="1" applyBorder="1" applyAlignment="1" applyProtection="1">
      <alignment horizontal="center"/>
    </xf>
    <xf numFmtId="0" fontId="48" fillId="40" borderId="83" xfId="0" applyFont="1" applyFill="1" applyBorder="1" applyAlignment="1" applyProtection="1">
      <alignment horizontal="center"/>
    </xf>
    <xf numFmtId="3" fontId="47" fillId="6" borderId="119" xfId="0" applyNumberFormat="1" applyFont="1" applyFill="1" applyBorder="1" applyProtection="1"/>
    <xf numFmtId="3" fontId="47" fillId="6" borderId="122" xfId="0" applyNumberFormat="1" applyFont="1" applyFill="1" applyBorder="1" applyProtection="1"/>
    <xf numFmtId="3" fontId="47" fillId="6" borderId="123" xfId="0" applyNumberFormat="1" applyFont="1" applyFill="1" applyBorder="1" applyProtection="1"/>
    <xf numFmtId="3" fontId="48" fillId="3" borderId="0" xfId="0" applyNumberFormat="1" applyFont="1" applyFill="1" applyBorder="1" applyAlignment="1" applyProtection="1">
      <alignment horizontal="right"/>
      <protection locked="0"/>
    </xf>
    <xf numFmtId="3" fontId="48" fillId="33" borderId="226" xfId="0" applyNumberFormat="1" applyFont="1" applyFill="1" applyBorder="1" applyAlignment="1" applyProtection="1">
      <alignment horizontal="right"/>
    </xf>
    <xf numFmtId="3" fontId="48" fillId="3" borderId="0" xfId="12" applyNumberFormat="1" applyFont="1" applyFill="1" applyBorder="1" applyProtection="1">
      <protection locked="0"/>
    </xf>
    <xf numFmtId="3" fontId="67" fillId="33" borderId="86" xfId="0" applyNumberFormat="1" applyFont="1" applyFill="1" applyBorder="1" applyProtection="1"/>
    <xf numFmtId="3" fontId="67" fillId="33" borderId="131" xfId="0" applyNumberFormat="1" applyFont="1" applyFill="1" applyBorder="1" applyProtection="1"/>
    <xf numFmtId="3" fontId="67" fillId="33" borderId="132" xfId="0" applyNumberFormat="1" applyFont="1" applyFill="1" applyBorder="1" applyProtection="1"/>
    <xf numFmtId="3" fontId="67" fillId="33" borderId="133" xfId="0" applyNumberFormat="1" applyFont="1" applyFill="1" applyBorder="1" applyProtection="1"/>
    <xf numFmtId="0" fontId="67" fillId="35" borderId="99" xfId="0" applyFont="1" applyFill="1" applyBorder="1" applyAlignment="1" applyProtection="1">
      <alignment horizontal="left"/>
    </xf>
    <xf numFmtId="0" fontId="67" fillId="35" borderId="93" xfId="0" applyFont="1" applyFill="1" applyBorder="1" applyAlignment="1" applyProtection="1">
      <alignment horizontal="left"/>
    </xf>
    <xf numFmtId="0" fontId="67" fillId="35" borderId="91" xfId="0" applyFont="1" applyFill="1" applyBorder="1" applyAlignment="1" applyProtection="1">
      <alignment horizontal="left"/>
    </xf>
    <xf numFmtId="0" fontId="67" fillId="35" borderId="109" xfId="0" applyFont="1" applyFill="1" applyBorder="1" applyAlignment="1" applyProtection="1">
      <alignment horizontal="left"/>
    </xf>
    <xf numFmtId="0" fontId="48" fillId="32" borderId="0" xfId="0" applyFont="1" applyFill="1" applyBorder="1" applyAlignment="1" applyProtection="1">
      <alignment horizontal="center"/>
      <protection locked="0"/>
    </xf>
    <xf numFmtId="0" fontId="50" fillId="0" borderId="100" xfId="0" applyFont="1" applyBorder="1" applyProtection="1">
      <protection locked="0"/>
    </xf>
    <xf numFmtId="3" fontId="50" fillId="0" borderId="80" xfId="0" applyNumberFormat="1" applyFont="1" applyFill="1" applyBorder="1" applyAlignment="1" applyProtection="1">
      <alignment horizontal="center"/>
      <protection locked="0"/>
    </xf>
    <xf numFmtId="0" fontId="48" fillId="35" borderId="133" xfId="0" applyFont="1" applyFill="1" applyBorder="1" applyAlignment="1" applyProtection="1">
      <alignment horizontal="center"/>
    </xf>
    <xf numFmtId="0" fontId="67" fillId="0" borderId="0" xfId="0" applyFont="1" applyAlignment="1" applyProtection="1">
      <alignment horizontal="left" vertical="center"/>
    </xf>
    <xf numFmtId="0" fontId="50" fillId="0" borderId="0" xfId="0" applyFont="1" applyAlignment="1" applyProtection="1">
      <alignment horizontal="center"/>
    </xf>
    <xf numFmtId="2" fontId="50" fillId="0" borderId="0" xfId="0" applyNumberFormat="1" applyFont="1" applyProtection="1"/>
    <xf numFmtId="0" fontId="50" fillId="0" borderId="0" xfId="0" applyFont="1" applyProtection="1"/>
    <xf numFmtId="0" fontId="67" fillId="0" borderId="0" xfId="0" applyFont="1" applyAlignment="1" applyProtection="1">
      <alignment horizontal="justify" vertical="center"/>
    </xf>
    <xf numFmtId="0" fontId="55" fillId="0" borderId="0" xfId="0" applyFont="1" applyAlignment="1" applyProtection="1">
      <protection locked="0"/>
    </xf>
    <xf numFmtId="3" fontId="48" fillId="35" borderId="180" xfId="0" applyNumberFormat="1" applyFont="1" applyFill="1" applyBorder="1" applyProtection="1"/>
    <xf numFmtId="0" fontId="50" fillId="0" borderId="1" xfId="0" applyFont="1" applyBorder="1" applyProtection="1">
      <protection locked="0"/>
    </xf>
    <xf numFmtId="0" fontId="69" fillId="0" borderId="1" xfId="0" applyFont="1" applyFill="1" applyBorder="1" applyProtection="1">
      <protection locked="0"/>
    </xf>
    <xf numFmtId="3" fontId="47" fillId="6" borderId="235" xfId="0" applyNumberFormat="1" applyFont="1" applyFill="1" applyBorder="1" applyAlignment="1" applyProtection="1"/>
    <xf numFmtId="3" fontId="47" fillId="6" borderId="234" xfId="0" applyNumberFormat="1" applyFont="1" applyFill="1" applyBorder="1" applyAlignment="1" applyProtection="1"/>
    <xf numFmtId="3" fontId="47" fillId="37" borderId="235" xfId="0" applyNumberFormat="1" applyFont="1" applyFill="1" applyBorder="1" applyAlignment="1" applyProtection="1"/>
    <xf numFmtId="3" fontId="47" fillId="37" borderId="234" xfId="0" applyNumberFormat="1" applyFont="1" applyFill="1" applyBorder="1" applyAlignment="1" applyProtection="1"/>
    <xf numFmtId="3" fontId="47" fillId="6" borderId="234" xfId="13" applyNumberFormat="1" applyFont="1" applyFill="1" applyBorder="1" applyProtection="1"/>
    <xf numFmtId="3" fontId="47" fillId="35" borderId="234" xfId="13" applyNumberFormat="1" applyFont="1" applyFill="1" applyBorder="1" applyProtection="1"/>
    <xf numFmtId="3" fontId="48" fillId="6" borderId="234" xfId="13" applyNumberFormat="1" applyFont="1" applyFill="1" applyBorder="1" applyProtection="1"/>
    <xf numFmtId="3" fontId="47" fillId="37" borderId="234" xfId="13" applyNumberFormat="1" applyFont="1" applyFill="1" applyBorder="1" applyProtection="1"/>
    <xf numFmtId="3" fontId="47" fillId="35" borderId="180" xfId="13" applyNumberFormat="1" applyFont="1" applyFill="1" applyBorder="1" applyProtection="1"/>
    <xf numFmtId="3" fontId="48" fillId="37" borderId="234" xfId="13" applyNumberFormat="1" applyFont="1" applyFill="1" applyBorder="1" applyProtection="1"/>
    <xf numFmtId="173" fontId="47" fillId="6" borderId="235" xfId="13" applyNumberFormat="1" applyFont="1" applyFill="1" applyBorder="1" applyProtection="1"/>
    <xf numFmtId="173" fontId="47" fillId="6" borderId="234" xfId="13" applyNumberFormat="1" applyFont="1" applyFill="1" applyBorder="1" applyProtection="1"/>
    <xf numFmtId="173" fontId="47" fillId="37" borderId="235" xfId="13" applyNumberFormat="1" applyFont="1" applyFill="1" applyBorder="1" applyProtection="1"/>
    <xf numFmtId="173" fontId="47" fillId="37" borderId="234" xfId="13" applyNumberFormat="1" applyFont="1" applyFill="1" applyBorder="1" applyProtection="1"/>
    <xf numFmtId="3" fontId="48" fillId="5" borderId="13" xfId="13" applyNumberFormat="1" applyFont="1" applyFill="1" applyBorder="1" applyProtection="1">
      <protection locked="0"/>
    </xf>
    <xf numFmtId="3" fontId="48" fillId="5" borderId="17" xfId="13" applyNumberFormat="1" applyFont="1" applyFill="1" applyBorder="1" applyProtection="1">
      <protection locked="0"/>
    </xf>
    <xf numFmtId="3" fontId="48" fillId="5" borderId="18" xfId="13" applyNumberFormat="1" applyFont="1" applyFill="1" applyBorder="1" applyProtection="1">
      <protection locked="0"/>
    </xf>
    <xf numFmtId="0" fontId="60" fillId="0" borderId="0" xfId="0" applyFont="1" applyBorder="1" applyAlignment="1" applyProtection="1">
      <alignment horizontal="justify" vertical="center"/>
      <protection locked="0"/>
    </xf>
    <xf numFmtId="3" fontId="47" fillId="35" borderId="180" xfId="40" applyNumberFormat="1" applyFont="1" applyFill="1" applyBorder="1" applyProtection="1"/>
    <xf numFmtId="3" fontId="50" fillId="0" borderId="1" xfId="40" applyNumberFormat="1" applyFont="1" applyFill="1" applyBorder="1" applyAlignment="1" applyProtection="1">
      <protection locked="0"/>
    </xf>
    <xf numFmtId="3" fontId="50" fillId="0" borderId="1" xfId="40" applyNumberFormat="1" applyFont="1" applyFill="1" applyBorder="1" applyProtection="1">
      <protection locked="0"/>
    </xf>
    <xf numFmtId="3" fontId="47" fillId="6" borderId="235" xfId="40" applyNumberFormat="1" applyFont="1" applyFill="1" applyBorder="1" applyProtection="1"/>
    <xf numFmtId="3" fontId="47" fillId="6" borderId="234" xfId="40" applyNumberFormat="1" applyFont="1" applyFill="1" applyBorder="1" applyProtection="1"/>
    <xf numFmtId="3" fontId="47" fillId="37" borderId="19" xfId="40" applyNumberFormat="1" applyFont="1" applyFill="1" applyBorder="1" applyProtection="1"/>
    <xf numFmtId="3" fontId="47" fillId="37" borderId="235" xfId="40" applyNumberFormat="1" applyFont="1" applyFill="1" applyBorder="1" applyProtection="1"/>
    <xf numFmtId="3" fontId="47" fillId="37" borderId="234" xfId="40" applyNumberFormat="1" applyFont="1" applyFill="1" applyBorder="1" applyProtection="1"/>
    <xf numFmtId="0" fontId="52" fillId="40" borderId="235" xfId="40" applyFont="1" applyFill="1" applyBorder="1" applyAlignment="1" applyProtection="1">
      <alignment horizontal="left"/>
    </xf>
    <xf numFmtId="0" fontId="52" fillId="7" borderId="235" xfId="40" applyFont="1" applyFill="1" applyBorder="1" applyAlignment="1" applyProtection="1">
      <alignment horizontal="left"/>
    </xf>
    <xf numFmtId="0" fontId="50" fillId="0" borderId="9" xfId="40" applyFont="1" applyBorder="1" applyProtection="1">
      <protection locked="0"/>
    </xf>
    <xf numFmtId="3" fontId="51" fillId="0" borderId="1" xfId="40" applyNumberFormat="1" applyFont="1" applyFill="1" applyBorder="1" applyAlignment="1" applyProtection="1">
      <protection locked="0"/>
    </xf>
    <xf numFmtId="0" fontId="50" fillId="0" borderId="1" xfId="40" applyFont="1" applyBorder="1" applyProtection="1">
      <protection locked="0"/>
    </xf>
    <xf numFmtId="0" fontId="47" fillId="0" borderId="1" xfId="40" applyFont="1" applyFill="1" applyBorder="1" applyAlignment="1" applyProtection="1">
      <alignment vertical="center"/>
      <protection locked="0"/>
    </xf>
    <xf numFmtId="0" fontId="47" fillId="6" borderId="235" xfId="40" applyFont="1" applyFill="1" applyBorder="1" applyProtection="1"/>
    <xf numFmtId="3" fontId="47" fillId="6" borderId="235" xfId="40" applyNumberFormat="1" applyFont="1" applyFill="1" applyBorder="1" applyAlignment="1" applyProtection="1"/>
    <xf numFmtId="3" fontId="47" fillId="6" borderId="234" xfId="40" applyNumberFormat="1" applyFont="1" applyFill="1" applyBorder="1" applyAlignment="1" applyProtection="1"/>
    <xf numFmtId="0" fontId="47" fillId="38" borderId="235" xfId="40" applyFont="1" applyFill="1" applyBorder="1" applyProtection="1"/>
    <xf numFmtId="3" fontId="47" fillId="38" borderId="235" xfId="40" applyNumberFormat="1" applyFont="1" applyFill="1" applyBorder="1" applyAlignment="1" applyProtection="1"/>
    <xf numFmtId="3" fontId="47" fillId="38" borderId="234" xfId="40" applyNumberFormat="1" applyFont="1" applyFill="1" applyBorder="1" applyAlignment="1" applyProtection="1"/>
    <xf numFmtId="3" fontId="47" fillId="38" borderId="235" xfId="40" applyNumberFormat="1" applyFont="1" applyFill="1" applyBorder="1" applyProtection="1"/>
    <xf numFmtId="3" fontId="47" fillId="38" borderId="234" xfId="40" applyNumberFormat="1" applyFont="1" applyFill="1" applyBorder="1" applyProtection="1"/>
    <xf numFmtId="3" fontId="48" fillId="3" borderId="0" xfId="333" applyNumberFormat="1" applyFont="1" applyFill="1" applyBorder="1" applyAlignment="1" applyProtection="1">
      <alignment vertical="center"/>
      <protection locked="0"/>
    </xf>
    <xf numFmtId="3" fontId="50" fillId="0" borderId="1" xfId="333" applyNumberFormat="1" applyFont="1" applyFill="1" applyBorder="1" applyProtection="1">
      <protection locked="0"/>
    </xf>
    <xf numFmtId="3" fontId="50" fillId="0" borderId="1" xfId="333" applyNumberFormat="1" applyFont="1" applyFill="1" applyBorder="1" applyAlignment="1" applyProtection="1">
      <alignment vertical="center"/>
      <protection locked="0"/>
    </xf>
    <xf numFmtId="3" fontId="48" fillId="33" borderId="232" xfId="333" applyNumberFormat="1" applyFont="1" applyFill="1" applyBorder="1" applyProtection="1"/>
    <xf numFmtId="3" fontId="48" fillId="33" borderId="256" xfId="333" applyNumberFormat="1" applyFont="1" applyFill="1" applyBorder="1" applyProtection="1"/>
    <xf numFmtId="3" fontId="48" fillId="33" borderId="233" xfId="333" applyNumberFormat="1" applyFont="1" applyFill="1" applyBorder="1" applyProtection="1"/>
    <xf numFmtId="3" fontId="47" fillId="44" borderId="19" xfId="333" applyNumberFormat="1" applyFont="1" applyFill="1" applyBorder="1" applyProtection="1"/>
    <xf numFmtId="3" fontId="47" fillId="44" borderId="235" xfId="333" applyNumberFormat="1" applyFont="1" applyFill="1" applyBorder="1" applyProtection="1"/>
    <xf numFmtId="3" fontId="47" fillId="44" borderId="234" xfId="333" applyNumberFormat="1" applyFont="1" applyFill="1" applyBorder="1" applyProtection="1"/>
    <xf numFmtId="3" fontId="47" fillId="37" borderId="19" xfId="333" applyNumberFormat="1" applyFont="1" applyFill="1" applyBorder="1" applyProtection="1"/>
    <xf numFmtId="3" fontId="47" fillId="37" borderId="235" xfId="333" applyNumberFormat="1" applyFont="1" applyFill="1" applyBorder="1" applyProtection="1"/>
    <xf numFmtId="3" fontId="47" fillId="37" borderId="234" xfId="333" applyNumberFormat="1" applyFont="1" applyFill="1" applyBorder="1" applyProtection="1"/>
    <xf numFmtId="3" fontId="47" fillId="7" borderId="19" xfId="333" applyNumberFormat="1" applyFont="1" applyFill="1" applyBorder="1" applyProtection="1"/>
    <xf numFmtId="3" fontId="47" fillId="7" borderId="235" xfId="333" applyNumberFormat="1" applyFont="1" applyFill="1" applyBorder="1" applyProtection="1"/>
    <xf numFmtId="3" fontId="47" fillId="7" borderId="234" xfId="333" applyNumberFormat="1" applyFont="1" applyFill="1" applyBorder="1" applyProtection="1"/>
    <xf numFmtId="9" fontId="52" fillId="3" borderId="186" xfId="36" applyFont="1" applyFill="1" applyBorder="1" applyAlignment="1" applyProtection="1">
      <alignment horizontal="center"/>
      <protection locked="0"/>
    </xf>
    <xf numFmtId="9" fontId="52" fillId="3" borderId="259" xfId="36" applyFont="1" applyFill="1" applyBorder="1" applyAlignment="1" applyProtection="1">
      <alignment horizontal="center"/>
      <protection locked="0"/>
    </xf>
    <xf numFmtId="0" fontId="50" fillId="0" borderId="1" xfId="333" applyFont="1" applyBorder="1" applyProtection="1">
      <protection locked="0"/>
    </xf>
    <xf numFmtId="2" fontId="80" fillId="0" borderId="9" xfId="333" applyNumberFormat="1" applyFont="1" applyFill="1" applyBorder="1" applyAlignment="1" applyProtection="1">
      <alignment horizontal="center"/>
      <protection locked="0"/>
    </xf>
    <xf numFmtId="2" fontId="52" fillId="0" borderId="9" xfId="333" applyNumberFormat="1" applyFont="1" applyFill="1" applyBorder="1" applyAlignment="1" applyProtection="1">
      <alignment horizontal="center"/>
      <protection locked="0"/>
    </xf>
    <xf numFmtId="0" fontId="50" fillId="0" borderId="9" xfId="333" applyFont="1" applyFill="1" applyBorder="1" applyProtection="1">
      <protection locked="0"/>
    </xf>
    <xf numFmtId="2" fontId="47" fillId="2" borderId="236" xfId="333" applyNumberFormat="1" applyFont="1" applyFill="1" applyBorder="1" applyAlignment="1" applyProtection="1">
      <alignment horizontal="center"/>
      <protection locked="0"/>
    </xf>
    <xf numFmtId="2" fontId="47" fillId="2" borderId="237" xfId="333" applyNumberFormat="1" applyFont="1" applyFill="1" applyBorder="1" applyAlignment="1" applyProtection="1">
      <alignment horizontal="center"/>
      <protection locked="0"/>
    </xf>
    <xf numFmtId="2" fontId="47" fillId="2" borderId="238" xfId="333" applyNumberFormat="1" applyFont="1" applyFill="1" applyBorder="1" applyAlignment="1" applyProtection="1">
      <alignment horizontal="center"/>
      <protection locked="0"/>
    </xf>
    <xf numFmtId="2" fontId="48" fillId="3" borderId="0" xfId="333" applyNumberFormat="1" applyFont="1" applyFill="1" applyBorder="1" applyAlignment="1" applyProtection="1">
      <alignment horizontal="center"/>
      <protection locked="0"/>
    </xf>
    <xf numFmtId="9" fontId="52" fillId="3" borderId="178" xfId="36" applyFont="1" applyFill="1" applyBorder="1" applyAlignment="1" applyProtection="1">
      <alignment horizontal="center"/>
      <protection locked="0"/>
    </xf>
    <xf numFmtId="9" fontId="52" fillId="3" borderId="169" xfId="36" applyFont="1" applyFill="1" applyBorder="1" applyAlignment="1" applyProtection="1">
      <alignment horizontal="center"/>
      <protection locked="0"/>
    </xf>
    <xf numFmtId="9" fontId="52" fillId="3" borderId="62" xfId="36" applyFont="1" applyFill="1" applyBorder="1" applyAlignment="1" applyProtection="1">
      <alignment horizontal="center"/>
      <protection locked="0"/>
    </xf>
    <xf numFmtId="9" fontId="52" fillId="3" borderId="34" xfId="36" applyFont="1" applyFill="1" applyBorder="1" applyAlignment="1" applyProtection="1">
      <alignment horizontal="center"/>
      <protection locked="0"/>
    </xf>
    <xf numFmtId="9" fontId="52" fillId="3" borderId="25" xfId="36" applyFont="1" applyFill="1" applyBorder="1" applyAlignment="1" applyProtection="1">
      <alignment horizontal="center"/>
      <protection locked="0"/>
    </xf>
    <xf numFmtId="168" fontId="52" fillId="3" borderId="34" xfId="36" applyNumberFormat="1" applyFont="1" applyFill="1" applyBorder="1" applyAlignment="1" applyProtection="1">
      <alignment horizontal="center"/>
      <protection locked="0"/>
    </xf>
    <xf numFmtId="168" fontId="52" fillId="3" borderId="62" xfId="36" applyNumberFormat="1" applyFont="1" applyFill="1" applyBorder="1" applyAlignment="1" applyProtection="1">
      <alignment horizontal="center"/>
      <protection locked="0"/>
    </xf>
    <xf numFmtId="168" fontId="52" fillId="3" borderId="25" xfId="36" applyNumberFormat="1" applyFont="1" applyFill="1" applyBorder="1" applyAlignment="1" applyProtection="1">
      <alignment horizontal="center"/>
      <protection locked="0"/>
    </xf>
    <xf numFmtId="9" fontId="52" fillId="3" borderId="181" xfId="36" applyFont="1" applyFill="1" applyBorder="1" applyAlignment="1" applyProtection="1">
      <alignment horizontal="center"/>
      <protection locked="0"/>
    </xf>
    <xf numFmtId="168" fontId="52" fillId="3" borderId="186" xfId="36" applyNumberFormat="1" applyFont="1" applyFill="1" applyBorder="1" applyAlignment="1" applyProtection="1">
      <alignment horizontal="center"/>
      <protection locked="0"/>
    </xf>
    <xf numFmtId="168" fontId="52" fillId="3" borderId="187" xfId="36" applyNumberFormat="1" applyFont="1" applyFill="1" applyBorder="1" applyAlignment="1" applyProtection="1">
      <alignment horizontal="center"/>
      <protection locked="0"/>
    </xf>
    <xf numFmtId="2" fontId="48" fillId="0" borderId="255" xfId="333" applyNumberFormat="1" applyFont="1" applyFill="1" applyBorder="1" applyAlignment="1" applyProtection="1">
      <alignment horizontal="center"/>
    </xf>
    <xf numFmtId="2" fontId="48" fillId="0" borderId="184" xfId="333" applyNumberFormat="1" applyFont="1" applyFill="1" applyBorder="1" applyAlignment="1" applyProtection="1">
      <alignment horizontal="center"/>
    </xf>
    <xf numFmtId="2" fontId="48" fillId="0" borderId="255" xfId="333" applyNumberFormat="1" applyFont="1" applyFill="1" applyBorder="1" applyAlignment="1" applyProtection="1">
      <alignment horizontal="center" vertical="center"/>
    </xf>
    <xf numFmtId="2" fontId="48" fillId="0" borderId="184" xfId="333" applyNumberFormat="1" applyFont="1" applyFill="1" applyBorder="1" applyAlignment="1" applyProtection="1">
      <alignment horizontal="center" vertical="center"/>
    </xf>
    <xf numFmtId="0" fontId="48" fillId="0" borderId="7" xfId="333" applyFont="1" applyBorder="1" applyProtection="1">
      <protection locked="0"/>
    </xf>
    <xf numFmtId="3" fontId="50" fillId="3" borderId="183" xfId="333" applyNumberFormat="1" applyFont="1" applyFill="1" applyBorder="1" applyAlignment="1" applyProtection="1">
      <protection locked="0"/>
    </xf>
    <xf numFmtId="3" fontId="50" fillId="3" borderId="256" xfId="333" applyNumberFormat="1" applyFont="1" applyFill="1" applyBorder="1" applyAlignment="1" applyProtection="1">
      <protection locked="0"/>
    </xf>
    <xf numFmtId="3" fontId="50" fillId="3" borderId="256" xfId="333" applyNumberFormat="1" applyFont="1" applyFill="1" applyBorder="1" applyProtection="1">
      <protection locked="0"/>
    </xf>
    <xf numFmtId="3" fontId="50" fillId="3" borderId="183" xfId="333" applyNumberFormat="1" applyFont="1" applyFill="1" applyBorder="1" applyProtection="1">
      <protection locked="0"/>
    </xf>
    <xf numFmtId="3" fontId="50" fillId="0" borderId="1" xfId="333" applyNumberFormat="1" applyFont="1" applyFill="1" applyBorder="1" applyAlignment="1" applyProtection="1">
      <protection locked="0"/>
    </xf>
    <xf numFmtId="3" fontId="48" fillId="33" borderId="169" xfId="333" applyNumberFormat="1" applyFont="1" applyFill="1" applyBorder="1" applyProtection="1"/>
    <xf numFmtId="3" fontId="48" fillId="33" borderId="187" xfId="333" applyNumberFormat="1" applyFont="1" applyFill="1" applyBorder="1" applyProtection="1"/>
    <xf numFmtId="0" fontId="48" fillId="35" borderId="233" xfId="333" applyNumberFormat="1" applyFont="1" applyFill="1" applyBorder="1" applyProtection="1"/>
    <xf numFmtId="3" fontId="51" fillId="6" borderId="235" xfId="333" applyNumberFormat="1" applyFont="1" applyFill="1" applyBorder="1" applyAlignment="1" applyProtection="1"/>
    <xf numFmtId="3" fontId="51" fillId="6" borderId="234" xfId="333" applyNumberFormat="1" applyFont="1" applyFill="1" applyBorder="1" applyAlignment="1" applyProtection="1"/>
    <xf numFmtId="3" fontId="51" fillId="6" borderId="19" xfId="333" applyNumberFormat="1" applyFont="1" applyFill="1" applyBorder="1" applyProtection="1"/>
    <xf numFmtId="3" fontId="51" fillId="6" borderId="235" xfId="333" applyNumberFormat="1" applyFont="1" applyFill="1" applyBorder="1" applyProtection="1"/>
    <xf numFmtId="3" fontId="51" fillId="6" borderId="234" xfId="333" applyNumberFormat="1" applyFont="1" applyFill="1" applyBorder="1" applyProtection="1"/>
    <xf numFmtId="3" fontId="87" fillId="3" borderId="256" xfId="333" applyNumberFormat="1" applyFont="1" applyFill="1" applyBorder="1" applyAlignment="1" applyProtection="1">
      <protection locked="0"/>
    </xf>
    <xf numFmtId="3" fontId="87" fillId="3" borderId="256" xfId="333" applyNumberFormat="1" applyFont="1" applyFill="1" applyBorder="1" applyProtection="1">
      <protection locked="0"/>
    </xf>
    <xf numFmtId="3" fontId="88" fillId="33" borderId="187" xfId="333" applyNumberFormat="1" applyFont="1" applyFill="1" applyBorder="1" applyProtection="1"/>
    <xf numFmtId="3" fontId="87" fillId="35" borderId="180" xfId="333" applyNumberFormat="1" applyFont="1" applyFill="1" applyBorder="1" applyProtection="1"/>
    <xf numFmtId="3" fontId="86" fillId="0" borderId="1" xfId="333" applyNumberFormat="1" applyFont="1" applyFill="1" applyBorder="1" applyAlignment="1" applyProtection="1">
      <protection locked="0"/>
    </xf>
    <xf numFmtId="3" fontId="86" fillId="0" borderId="1" xfId="333" applyNumberFormat="1" applyFont="1" applyFill="1" applyBorder="1" applyProtection="1">
      <protection locked="0"/>
    </xf>
    <xf numFmtId="3" fontId="49" fillId="6" borderId="19" xfId="333" applyNumberFormat="1" applyFont="1" applyFill="1" applyBorder="1" applyProtection="1"/>
    <xf numFmtId="3" fontId="49" fillId="6" borderId="235" xfId="333" applyNumberFormat="1" applyFont="1" applyFill="1" applyBorder="1" applyProtection="1"/>
    <xf numFmtId="3" fontId="49" fillId="6" borderId="234" xfId="333" applyNumberFormat="1" applyFont="1" applyFill="1" applyBorder="1" applyProtection="1"/>
    <xf numFmtId="3" fontId="49" fillId="37" borderId="19" xfId="333" applyNumberFormat="1" applyFont="1" applyFill="1" applyBorder="1" applyProtection="1"/>
    <xf numFmtId="3" fontId="49" fillId="37" borderId="235" xfId="333" applyNumberFormat="1" applyFont="1" applyFill="1" applyBorder="1" applyProtection="1"/>
    <xf numFmtId="3" fontId="49" fillId="37" borderId="234" xfId="333" applyNumberFormat="1" applyFont="1" applyFill="1" applyBorder="1" applyProtection="1"/>
    <xf numFmtId="167" fontId="52" fillId="3" borderId="187" xfId="333" applyNumberFormat="1" applyFont="1" applyFill="1" applyBorder="1" applyAlignment="1" applyProtection="1">
      <alignment horizontal="center" wrapText="1"/>
      <protection locked="0"/>
    </xf>
    <xf numFmtId="167" fontId="52" fillId="3" borderId="25" xfId="333" applyNumberFormat="1" applyFont="1" applyFill="1" applyBorder="1" applyAlignment="1" applyProtection="1">
      <alignment horizontal="center" wrapText="1"/>
      <protection locked="0"/>
    </xf>
    <xf numFmtId="0" fontId="52" fillId="0" borderId="7" xfId="333" applyFont="1" applyFill="1" applyBorder="1" applyAlignment="1" applyProtection="1">
      <alignment horizontal="center" wrapText="1"/>
    </xf>
    <xf numFmtId="3" fontId="52" fillId="32" borderId="56" xfId="333" applyNumberFormat="1" applyFont="1" applyFill="1" applyBorder="1" applyAlignment="1" applyProtection="1">
      <alignment horizontal="right" wrapText="1"/>
      <protection locked="0"/>
    </xf>
    <xf numFmtId="3" fontId="52" fillId="32" borderId="190" xfId="333" applyNumberFormat="1" applyFont="1" applyFill="1" applyBorder="1" applyAlignment="1" applyProtection="1">
      <alignment horizontal="right" wrapText="1"/>
      <protection locked="0"/>
    </xf>
    <xf numFmtId="3" fontId="52" fillId="32" borderId="258" xfId="333" applyNumberFormat="1" applyFont="1" applyFill="1" applyBorder="1" applyAlignment="1" applyProtection="1">
      <alignment horizontal="right" wrapText="1"/>
      <protection locked="0"/>
    </xf>
    <xf numFmtId="3" fontId="52" fillId="32" borderId="259" xfId="333" applyNumberFormat="1" applyFont="1" applyFill="1" applyBorder="1" applyAlignment="1" applyProtection="1">
      <alignment horizontal="right" wrapText="1"/>
      <protection locked="0"/>
    </xf>
    <xf numFmtId="3" fontId="52" fillId="32" borderId="174" xfId="333" applyNumberFormat="1" applyFont="1" applyFill="1" applyBorder="1" applyAlignment="1" applyProtection="1">
      <alignment horizontal="right" wrapText="1"/>
      <protection locked="0"/>
    </xf>
    <xf numFmtId="167" fontId="52" fillId="3" borderId="0" xfId="333" applyNumberFormat="1" applyFont="1" applyFill="1" applyBorder="1" applyAlignment="1" applyProtection="1">
      <alignment horizontal="center" wrapText="1"/>
      <protection locked="0"/>
    </xf>
    <xf numFmtId="3" fontId="52" fillId="33" borderId="237" xfId="333" applyNumberFormat="1" applyFont="1" applyFill="1" applyBorder="1" applyAlignment="1" applyProtection="1">
      <alignment horizontal="right" wrapText="1"/>
    </xf>
    <xf numFmtId="3" fontId="52" fillId="33" borderId="186" xfId="333" applyNumberFormat="1" applyFont="1" applyFill="1" applyBorder="1" applyAlignment="1" applyProtection="1">
      <alignment horizontal="right" wrapText="1"/>
    </xf>
    <xf numFmtId="3" fontId="52" fillId="33" borderId="189" xfId="333" applyNumberFormat="1" applyFont="1" applyFill="1" applyBorder="1" applyAlignment="1" applyProtection="1">
      <alignment horizontal="right" wrapText="1"/>
    </xf>
    <xf numFmtId="3" fontId="52" fillId="32" borderId="77" xfId="333" applyNumberFormat="1" applyFont="1" applyFill="1" applyBorder="1" applyAlignment="1" applyProtection="1">
      <alignment horizontal="right" wrapText="1"/>
      <protection locked="0"/>
    </xf>
    <xf numFmtId="167" fontId="52" fillId="3" borderId="53" xfId="333" applyNumberFormat="1" applyFont="1" applyFill="1" applyBorder="1" applyAlignment="1" applyProtection="1">
      <alignment horizontal="center" wrapText="1"/>
      <protection locked="0"/>
    </xf>
    <xf numFmtId="3" fontId="50" fillId="30" borderId="7" xfId="333" applyNumberFormat="1" applyFont="1" applyFill="1" applyBorder="1" applyProtection="1">
      <protection locked="0"/>
    </xf>
    <xf numFmtId="3" fontId="48" fillId="3" borderId="256" xfId="333" applyNumberFormat="1" applyFont="1" applyFill="1" applyBorder="1" applyAlignment="1" applyProtection="1">
      <protection locked="0"/>
    </xf>
    <xf numFmtId="3" fontId="48" fillId="3" borderId="256" xfId="333" applyNumberFormat="1" applyFont="1" applyFill="1" applyBorder="1" applyProtection="1">
      <protection locked="0"/>
    </xf>
    <xf numFmtId="3" fontId="48" fillId="35" borderId="233" xfId="333" applyNumberFormat="1" applyFont="1" applyFill="1" applyBorder="1" applyProtection="1"/>
    <xf numFmtId="3" fontId="50" fillId="30" borderId="1" xfId="333" applyNumberFormat="1" applyFont="1" applyFill="1" applyBorder="1" applyAlignment="1" applyProtection="1">
      <protection locked="0"/>
    </xf>
    <xf numFmtId="3" fontId="50" fillId="30" borderId="1" xfId="333" applyNumberFormat="1" applyFont="1" applyFill="1" applyBorder="1" applyProtection="1">
      <protection locked="0"/>
    </xf>
    <xf numFmtId="3" fontId="51" fillId="30" borderId="7" xfId="333" applyNumberFormat="1" applyFont="1" applyFill="1" applyBorder="1" applyProtection="1">
      <protection locked="0"/>
    </xf>
    <xf numFmtId="0" fontId="50" fillId="30" borderId="7" xfId="333" applyFont="1" applyFill="1" applyBorder="1" applyProtection="1">
      <protection locked="0"/>
    </xf>
    <xf numFmtId="3" fontId="50" fillId="38" borderId="7" xfId="333" applyNumberFormat="1" applyFont="1" applyFill="1" applyBorder="1" applyProtection="1">
      <protection locked="0"/>
    </xf>
    <xf numFmtId="3" fontId="51" fillId="38" borderId="7" xfId="333" applyNumberFormat="1" applyFont="1" applyFill="1" applyBorder="1" applyProtection="1">
      <protection locked="0"/>
    </xf>
    <xf numFmtId="3" fontId="50" fillId="31" borderId="7" xfId="333" applyNumberFormat="1" applyFont="1" applyFill="1" applyBorder="1" applyProtection="1">
      <protection locked="0"/>
    </xf>
    <xf numFmtId="3" fontId="51" fillId="31" borderId="7" xfId="333" applyNumberFormat="1" applyFont="1" applyFill="1" applyBorder="1" applyProtection="1">
      <protection locked="0"/>
    </xf>
    <xf numFmtId="3" fontId="50" fillId="44" borderId="7" xfId="333" applyNumberFormat="1" applyFont="1" applyFill="1" applyBorder="1" applyProtection="1">
      <protection locked="0"/>
    </xf>
    <xf numFmtId="3" fontId="51" fillId="44" borderId="7" xfId="333" applyNumberFormat="1" applyFont="1" applyFill="1" applyBorder="1" applyProtection="1">
      <protection locked="0"/>
    </xf>
    <xf numFmtId="3" fontId="50" fillId="34" borderId="7" xfId="333" applyNumberFormat="1" applyFont="1" applyFill="1" applyBorder="1" applyProtection="1">
      <protection locked="0"/>
    </xf>
    <xf numFmtId="3" fontId="51" fillId="34" borderId="7" xfId="333" applyNumberFormat="1" applyFont="1" applyFill="1" applyBorder="1" applyProtection="1">
      <protection locked="0"/>
    </xf>
    <xf numFmtId="3" fontId="50" fillId="48" borderId="7" xfId="333" applyNumberFormat="1" applyFont="1" applyFill="1" applyBorder="1" applyProtection="1">
      <protection locked="0"/>
    </xf>
    <xf numFmtId="3" fontId="51" fillId="48" borderId="7" xfId="333" applyNumberFormat="1" applyFont="1" applyFill="1" applyBorder="1" applyProtection="1">
      <protection locked="0"/>
    </xf>
    <xf numFmtId="3" fontId="51" fillId="48" borderId="260" xfId="333" applyNumberFormat="1" applyFont="1" applyFill="1" applyBorder="1" applyProtection="1">
      <protection locked="0"/>
    </xf>
    <xf numFmtId="0" fontId="50" fillId="38" borderId="261" xfId="333" applyFont="1" applyFill="1" applyBorder="1" applyProtection="1">
      <protection locked="0"/>
    </xf>
    <xf numFmtId="0" fontId="50" fillId="31" borderId="262" xfId="333" applyFont="1" applyFill="1" applyBorder="1" applyProtection="1">
      <protection locked="0"/>
    </xf>
    <xf numFmtId="0" fontId="50" fillId="44" borderId="263" xfId="333" applyFont="1" applyFill="1" applyBorder="1" applyProtection="1">
      <protection locked="0"/>
    </xf>
    <xf numFmtId="0" fontId="50" fillId="34" borderId="264" xfId="333" applyFont="1" applyFill="1" applyBorder="1" applyProtection="1">
      <protection locked="0"/>
    </xf>
    <xf numFmtId="0" fontId="50" fillId="48" borderId="265" xfId="333" applyFont="1" applyFill="1" applyBorder="1" applyProtection="1">
      <protection locked="0"/>
    </xf>
    <xf numFmtId="0" fontId="49" fillId="0" borderId="0" xfId="333" applyFont="1" applyFill="1" applyBorder="1" applyAlignment="1" applyProtection="1">
      <alignment wrapText="1"/>
      <protection locked="0"/>
    </xf>
    <xf numFmtId="0" fontId="52" fillId="0" borderId="7" xfId="333" applyFont="1" applyFill="1" applyBorder="1" applyAlignment="1" applyProtection="1">
      <alignment horizontal="center" wrapText="1"/>
      <protection locked="0"/>
    </xf>
    <xf numFmtId="0" fontId="52" fillId="0" borderId="1" xfId="333" applyFont="1" applyFill="1" applyBorder="1" applyAlignment="1" applyProtection="1">
      <alignment horizontal="center" wrapText="1"/>
      <protection locked="0"/>
    </xf>
    <xf numFmtId="0" fontId="52" fillId="0" borderId="0" xfId="333" applyFont="1" applyFill="1" applyBorder="1" applyAlignment="1" applyProtection="1">
      <alignment vertical="center" wrapText="1"/>
      <protection locked="0"/>
    </xf>
    <xf numFmtId="0" fontId="62" fillId="0" borderId="7" xfId="333" applyFont="1" applyBorder="1" applyProtection="1">
      <protection locked="0"/>
    </xf>
    <xf numFmtId="0" fontId="69" fillId="0" borderId="7" xfId="9" applyFont="1" applyFill="1" applyBorder="1" applyProtection="1">
      <protection locked="0"/>
    </xf>
    <xf numFmtId="0" fontId="50" fillId="0" borderId="7" xfId="9" applyFont="1" applyFill="1" applyBorder="1" applyProtection="1"/>
    <xf numFmtId="0" fontId="50" fillId="0" borderId="8" xfId="9" applyFont="1" applyFill="1" applyBorder="1" applyProtection="1"/>
    <xf numFmtId="0" fontId="50" fillId="0" borderId="0" xfId="9" applyFont="1" applyFill="1" applyBorder="1" applyProtection="1"/>
    <xf numFmtId="0" fontId="50" fillId="0" borderId="9" xfId="9" applyFont="1" applyFill="1" applyBorder="1" applyProtection="1"/>
    <xf numFmtId="0" fontId="50" fillId="0" borderId="163" xfId="9" applyFont="1" applyFill="1" applyBorder="1" applyProtection="1"/>
    <xf numFmtId="0" fontId="50" fillId="0" borderId="233" xfId="9" applyFont="1" applyFill="1" applyBorder="1" applyProtection="1"/>
    <xf numFmtId="0" fontId="50" fillId="0" borderId="158" xfId="9" applyFont="1" applyFill="1" applyBorder="1" applyProtection="1"/>
    <xf numFmtId="0" fontId="50" fillId="0" borderId="159" xfId="9" applyFont="1" applyFill="1" applyBorder="1" applyProtection="1"/>
    <xf numFmtId="3" fontId="48" fillId="32" borderId="7" xfId="333" applyNumberFormat="1" applyFont="1" applyFill="1" applyBorder="1" applyAlignment="1" applyProtection="1">
      <protection locked="0"/>
    </xf>
    <xf numFmtId="3" fontId="48" fillId="5" borderId="7" xfId="333" applyNumberFormat="1" applyFont="1" applyFill="1" applyBorder="1" applyProtection="1">
      <protection locked="0"/>
    </xf>
    <xf numFmtId="10" fontId="75" fillId="35" borderId="180" xfId="36" applyNumberFormat="1" applyFont="1" applyFill="1" applyBorder="1" applyAlignment="1" applyProtection="1">
      <alignment horizontal="center"/>
    </xf>
    <xf numFmtId="3" fontId="48" fillId="33" borderId="1" xfId="333" applyNumberFormat="1" applyFont="1" applyFill="1" applyBorder="1" applyAlignment="1" applyProtection="1"/>
    <xf numFmtId="3" fontId="48" fillId="33" borderId="188" xfId="333" applyNumberFormat="1" applyFont="1" applyFill="1" applyBorder="1" applyAlignment="1" applyProtection="1"/>
    <xf numFmtId="3" fontId="48" fillId="33" borderId="183" xfId="333" applyNumberFormat="1" applyFont="1" applyFill="1" applyBorder="1" applyProtection="1"/>
    <xf numFmtId="3" fontId="48" fillId="33" borderId="180" xfId="333" applyNumberFormat="1" applyFont="1" applyFill="1" applyBorder="1" applyProtection="1"/>
    <xf numFmtId="3" fontId="48" fillId="33" borderId="183" xfId="333" applyNumberFormat="1" applyFont="1" applyFill="1" applyBorder="1" applyAlignment="1" applyProtection="1"/>
    <xf numFmtId="3" fontId="48" fillId="33" borderId="180" xfId="333" applyNumberFormat="1" applyFont="1" applyFill="1" applyBorder="1" applyAlignment="1" applyProtection="1"/>
    <xf numFmtId="9" fontId="50" fillId="0" borderId="0" xfId="36" applyFont="1" applyFill="1" applyBorder="1" applyProtection="1">
      <protection locked="0"/>
    </xf>
    <xf numFmtId="0" fontId="69" fillId="0" borderId="0" xfId="9" applyFont="1" applyFill="1" applyBorder="1" applyProtection="1">
      <protection locked="0"/>
    </xf>
    <xf numFmtId="0" fontId="49" fillId="0" borderId="0" xfId="333" applyFont="1" applyFill="1" applyBorder="1" applyAlignment="1" applyProtection="1">
      <alignment vertical="center"/>
      <protection locked="0"/>
    </xf>
    <xf numFmtId="3" fontId="47" fillId="33" borderId="109" xfId="0" applyNumberFormat="1" applyFont="1" applyFill="1" applyBorder="1" applyProtection="1"/>
    <xf numFmtId="3" fontId="48" fillId="35" borderId="81" xfId="0" applyNumberFormat="1" applyFont="1" applyFill="1" applyBorder="1" applyProtection="1"/>
    <xf numFmtId="3" fontId="48" fillId="35" borderId="106" xfId="0" applyNumberFormat="1" applyFont="1" applyFill="1" applyBorder="1" applyProtection="1"/>
    <xf numFmtId="3" fontId="18" fillId="0" borderId="100" xfId="0" applyNumberFormat="1" applyFont="1" applyFill="1" applyBorder="1" applyProtection="1">
      <protection locked="0"/>
    </xf>
    <xf numFmtId="3" fontId="18" fillId="0" borderId="100" xfId="0" applyNumberFormat="1" applyFont="1" applyFill="1" applyBorder="1" applyAlignment="1" applyProtection="1">
      <protection locked="0"/>
    </xf>
    <xf numFmtId="3" fontId="47" fillId="6" borderId="103" xfId="0" applyNumberFormat="1" applyFont="1" applyFill="1" applyBorder="1" applyAlignment="1" applyProtection="1"/>
    <xf numFmtId="3" fontId="47" fillId="37" borderId="103" xfId="0" applyNumberFormat="1" applyFont="1" applyFill="1" applyBorder="1" applyAlignment="1" applyProtection="1"/>
    <xf numFmtId="16" fontId="50" fillId="5" borderId="0" xfId="0" quotePrefix="1" applyNumberFormat="1" applyFont="1" applyFill="1" applyBorder="1" applyAlignment="1" applyProtection="1">
      <alignment horizontal="center"/>
      <protection locked="0"/>
    </xf>
    <xf numFmtId="16" fontId="50" fillId="5" borderId="0" xfId="0" applyNumberFormat="1" applyFont="1" applyFill="1" applyBorder="1" applyAlignment="1" applyProtection="1">
      <alignment horizontal="center"/>
      <protection locked="0"/>
    </xf>
    <xf numFmtId="0" fontId="54" fillId="7" borderId="83" xfId="0" applyFont="1" applyFill="1" applyBorder="1" applyAlignment="1" applyProtection="1">
      <alignment horizontal="center"/>
    </xf>
    <xf numFmtId="3" fontId="5" fillId="0" borderId="1" xfId="0" applyNumberFormat="1" applyFont="1" applyFill="1" applyBorder="1" applyAlignment="1" applyProtection="1">
      <protection locked="0"/>
    </xf>
    <xf numFmtId="3" fontId="5" fillId="0" borderId="1" xfId="10" applyNumberFormat="1" applyFont="1" applyFill="1" applyBorder="1" applyAlignment="1" applyProtection="1">
      <protection locked="0"/>
    </xf>
    <xf numFmtId="3" fontId="8" fillId="0" borderId="1" xfId="0" applyNumberFormat="1" applyFont="1" applyFill="1" applyBorder="1" applyProtection="1">
      <protection locked="0"/>
    </xf>
    <xf numFmtId="3" fontId="51" fillId="0" borderId="7" xfId="0" applyNumberFormat="1" applyFont="1" applyFill="1" applyBorder="1" applyProtection="1">
      <protection locked="0"/>
    </xf>
    <xf numFmtId="3" fontId="50" fillId="0" borderId="7" xfId="0" applyNumberFormat="1" applyFont="1" applyBorder="1" applyProtection="1">
      <protection locked="0"/>
    </xf>
    <xf numFmtId="0" fontId="50" fillId="0" borderId="7" xfId="0" applyFont="1" applyBorder="1" applyProtection="1">
      <protection locked="0"/>
    </xf>
    <xf numFmtId="3" fontId="48" fillId="35" borderId="85" xfId="0" applyNumberFormat="1" applyFont="1" applyFill="1" applyBorder="1" applyProtection="1"/>
    <xf numFmtId="0" fontId="50" fillId="0" borderId="9" xfId="0" applyFont="1" applyFill="1" applyBorder="1" applyProtection="1">
      <protection locked="0"/>
    </xf>
    <xf numFmtId="16" fontId="50" fillId="0" borderId="7" xfId="0" quotePrefix="1" applyNumberFormat="1" applyFont="1" applyBorder="1" applyProtection="1">
      <protection locked="0"/>
    </xf>
    <xf numFmtId="0" fontId="50" fillId="0" borderId="7" xfId="0" applyFont="1" applyFill="1" applyBorder="1" applyProtection="1">
      <protection locked="0"/>
    </xf>
    <xf numFmtId="3" fontId="47" fillId="6" borderId="19" xfId="333" applyNumberFormat="1" applyFont="1" applyFill="1" applyBorder="1" applyAlignment="1" applyProtection="1"/>
    <xf numFmtId="3" fontId="47" fillId="6" borderId="235" xfId="333" applyNumberFormat="1" applyFont="1" applyFill="1" applyBorder="1" applyAlignment="1" applyProtection="1"/>
    <xf numFmtId="3" fontId="47" fillId="6" borderId="234" xfId="333" applyNumberFormat="1" applyFont="1" applyFill="1" applyBorder="1" applyAlignment="1" applyProtection="1"/>
    <xf numFmtId="0" fontId="52" fillId="3" borderId="5" xfId="333" applyFont="1" applyFill="1" applyBorder="1" applyAlignment="1" applyProtection="1">
      <alignment horizontal="left"/>
      <protection locked="0"/>
    </xf>
    <xf numFmtId="0" fontId="47" fillId="6" borderId="266" xfId="0" applyFont="1" applyFill="1" applyBorder="1" applyProtection="1"/>
    <xf numFmtId="0" fontId="47" fillId="6" borderId="235" xfId="333" applyFont="1" applyFill="1" applyBorder="1" applyProtection="1">
      <protection locked="0"/>
    </xf>
    <xf numFmtId="0" fontId="53" fillId="0" borderId="7" xfId="333" applyFont="1" applyBorder="1" applyProtection="1">
      <protection locked="0"/>
    </xf>
    <xf numFmtId="0" fontId="50" fillId="0" borderId="7" xfId="333" applyFont="1" applyBorder="1" applyAlignment="1" applyProtection="1">
      <alignment horizontal="right"/>
      <protection locked="0"/>
    </xf>
    <xf numFmtId="0" fontId="49" fillId="0" borderId="1"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54" fillId="0" borderId="0" xfId="0" applyFont="1" applyFill="1" applyBorder="1" applyAlignment="1" applyProtection="1">
      <alignment vertical="center" wrapText="1"/>
      <protection locked="0"/>
    </xf>
    <xf numFmtId="0" fontId="49" fillId="0" borderId="0" xfId="0" applyFont="1" applyFill="1" applyBorder="1" applyAlignment="1" applyProtection="1">
      <alignment horizontal="center" vertical="center"/>
      <protection locked="0"/>
    </xf>
    <xf numFmtId="0" fontId="49" fillId="0" borderId="1" xfId="0" applyFont="1" applyFill="1" applyBorder="1" applyAlignment="1" applyProtection="1">
      <alignment horizontal="center" vertical="center"/>
      <protection locked="0"/>
    </xf>
    <xf numFmtId="0" fontId="54" fillId="0" borderId="0" xfId="0" applyFont="1" applyFill="1" applyBorder="1" applyAlignment="1" applyProtection="1">
      <alignment horizontal="center" vertical="center" wrapText="1"/>
      <protection locked="0"/>
    </xf>
    <xf numFmtId="3" fontId="48" fillId="0" borderId="1" xfId="9" applyNumberFormat="1" applyFont="1" applyFill="1" applyBorder="1" applyProtection="1">
      <protection locked="0"/>
    </xf>
    <xf numFmtId="0" fontId="103" fillId="0" borderId="0" xfId="9" applyFont="1" applyFill="1" applyBorder="1" applyAlignment="1" applyProtection="1">
      <alignment horizontal="right"/>
      <protection locked="0"/>
    </xf>
    <xf numFmtId="3" fontId="48" fillId="6" borderId="158" xfId="0" applyNumberFormat="1" applyFont="1" applyFill="1" applyBorder="1" applyProtection="1"/>
    <xf numFmtId="3" fontId="50" fillId="0" borderId="1" xfId="0" applyNumberFormat="1" applyFont="1" applyFill="1" applyBorder="1" applyAlignment="1" applyProtection="1">
      <alignment horizontal="right"/>
      <protection locked="0"/>
    </xf>
    <xf numFmtId="3" fontId="51" fillId="0" borderId="1" xfId="0" applyNumberFormat="1" applyFont="1" applyFill="1" applyBorder="1" applyProtection="1">
      <protection locked="0"/>
    </xf>
    <xf numFmtId="3" fontId="50" fillId="0" borderId="1" xfId="0" applyNumberFormat="1" applyFont="1" applyFill="1" applyBorder="1" applyProtection="1">
      <protection locked="0"/>
    </xf>
    <xf numFmtId="3" fontId="47" fillId="6" borderId="238" xfId="0" applyNumberFormat="1" applyFont="1" applyFill="1" applyBorder="1" applyProtection="1"/>
    <xf numFmtId="3" fontId="47" fillId="33" borderId="169" xfId="0" applyNumberFormat="1" applyFont="1" applyFill="1" applyBorder="1" applyProtection="1"/>
    <xf numFmtId="3" fontId="47" fillId="33" borderId="238" xfId="0" applyNumberFormat="1" applyFont="1" applyFill="1" applyBorder="1" applyProtection="1"/>
    <xf numFmtId="3" fontId="47" fillId="33" borderId="187" xfId="0" applyNumberFormat="1" applyFont="1" applyFill="1" applyBorder="1" applyProtection="1"/>
    <xf numFmtId="3" fontId="47" fillId="35" borderId="233" xfId="0" applyNumberFormat="1" applyFont="1" applyFill="1" applyBorder="1" applyProtection="1"/>
    <xf numFmtId="3" fontId="47" fillId="35" borderId="180" xfId="0" applyNumberFormat="1" applyFont="1" applyFill="1" applyBorder="1" applyProtection="1"/>
    <xf numFmtId="3" fontId="47" fillId="6" borderId="15" xfId="0" applyNumberFormat="1" applyFont="1" applyFill="1" applyBorder="1" applyProtection="1"/>
    <xf numFmtId="3" fontId="47" fillId="6" borderId="28" xfId="0" applyNumberFormat="1" applyFont="1" applyFill="1" applyBorder="1" applyProtection="1"/>
    <xf numFmtId="0" fontId="84" fillId="0" borderId="0" xfId="0" applyFont="1" applyFill="1" applyBorder="1" applyAlignment="1" applyProtection="1">
      <protection locked="0"/>
    </xf>
    <xf numFmtId="169" fontId="48" fillId="3" borderId="0" xfId="0" applyNumberFormat="1" applyFont="1" applyFill="1" applyBorder="1" applyProtection="1">
      <protection locked="0"/>
    </xf>
    <xf numFmtId="3" fontId="48" fillId="33" borderId="187" xfId="0" quotePrefix="1" applyNumberFormat="1" applyFont="1" applyFill="1" applyBorder="1" applyProtection="1"/>
    <xf numFmtId="3" fontId="50" fillId="5" borderId="6" xfId="0" applyNumberFormat="1" applyFont="1" applyFill="1" applyBorder="1" applyProtection="1">
      <protection locked="0"/>
    </xf>
    <xf numFmtId="3" fontId="50" fillId="5" borderId="7" xfId="0" applyNumberFormat="1" applyFont="1" applyFill="1" applyBorder="1" applyProtection="1">
      <protection locked="0"/>
    </xf>
    <xf numFmtId="3" fontId="50" fillId="5" borderId="8" xfId="0" applyNumberFormat="1" applyFont="1" applyFill="1" applyBorder="1" applyProtection="1">
      <protection locked="0"/>
    </xf>
    <xf numFmtId="3" fontId="50" fillId="5" borderId="1" xfId="0" applyNumberFormat="1" applyFont="1" applyFill="1" applyBorder="1" applyProtection="1">
      <protection locked="0"/>
    </xf>
    <xf numFmtId="3" fontId="50" fillId="5" borderId="0" xfId="0" applyNumberFormat="1" applyFont="1" applyFill="1" applyBorder="1" applyProtection="1">
      <protection locked="0"/>
    </xf>
    <xf numFmtId="3" fontId="50" fillId="5" borderId="9" xfId="0" applyNumberFormat="1" applyFont="1" applyFill="1" applyBorder="1" applyProtection="1">
      <protection locked="0"/>
    </xf>
    <xf numFmtId="3" fontId="50" fillId="5" borderId="12" xfId="0" applyNumberFormat="1" applyFont="1" applyFill="1" applyBorder="1" applyAlignment="1" applyProtection="1">
      <alignment vertical="center"/>
      <protection locked="0"/>
    </xf>
    <xf numFmtId="3" fontId="50" fillId="5" borderId="10" xfId="0" applyNumberFormat="1" applyFont="1" applyFill="1" applyBorder="1" applyAlignment="1" applyProtection="1">
      <alignment vertical="center"/>
      <protection locked="0"/>
    </xf>
    <xf numFmtId="3" fontId="50" fillId="5" borderId="11" xfId="0" applyNumberFormat="1" applyFont="1" applyFill="1" applyBorder="1" applyAlignment="1" applyProtection="1">
      <alignment vertical="center"/>
      <protection locked="0"/>
    </xf>
    <xf numFmtId="3" fontId="50" fillId="5" borderId="12" xfId="0" applyNumberFormat="1" applyFont="1" applyFill="1" applyBorder="1" applyProtection="1">
      <protection locked="0"/>
    </xf>
    <xf numFmtId="3" fontId="50" fillId="5" borderId="10" xfId="0" applyNumberFormat="1" applyFont="1" applyFill="1" applyBorder="1" applyProtection="1">
      <protection locked="0"/>
    </xf>
    <xf numFmtId="3" fontId="50" fillId="5" borderId="11" xfId="0" applyNumberFormat="1" applyFont="1" applyFill="1" applyBorder="1" applyProtection="1">
      <protection locked="0"/>
    </xf>
    <xf numFmtId="170" fontId="48" fillId="3" borderId="1" xfId="333" applyNumberFormat="1" applyFont="1" applyFill="1" applyBorder="1" applyAlignment="1" applyProtection="1">
      <protection locked="0"/>
    </xf>
    <xf numFmtId="170" fontId="48" fillId="3" borderId="0" xfId="333" applyNumberFormat="1" applyFont="1" applyFill="1" applyBorder="1" applyAlignment="1" applyProtection="1">
      <protection locked="0"/>
    </xf>
    <xf numFmtId="170" fontId="48" fillId="3" borderId="9" xfId="333" applyNumberFormat="1" applyFont="1" applyFill="1" applyBorder="1" applyAlignment="1" applyProtection="1">
      <protection locked="0"/>
    </xf>
    <xf numFmtId="3" fontId="48" fillId="3" borderId="6" xfId="40" applyNumberFormat="1" applyFont="1" applyFill="1" applyBorder="1" applyAlignment="1" applyProtection="1">
      <protection locked="0"/>
    </xf>
    <xf numFmtId="3" fontId="48" fillId="3" borderId="7" xfId="40" applyNumberFormat="1" applyFont="1" applyFill="1" applyBorder="1" applyAlignment="1" applyProtection="1">
      <protection locked="0"/>
    </xf>
    <xf numFmtId="3" fontId="48" fillId="3" borderId="8" xfId="40" applyNumberFormat="1" applyFont="1" applyFill="1" applyBorder="1" applyAlignment="1" applyProtection="1">
      <protection locked="0"/>
    </xf>
    <xf numFmtId="3" fontId="48" fillId="3" borderId="1" xfId="40" applyNumberFormat="1" applyFont="1" applyFill="1" applyBorder="1" applyAlignment="1" applyProtection="1">
      <protection locked="0"/>
    </xf>
    <xf numFmtId="3" fontId="48" fillId="3" borderId="9" xfId="40" applyNumberFormat="1" applyFont="1" applyFill="1" applyBorder="1" applyAlignment="1" applyProtection="1">
      <protection locked="0"/>
    </xf>
    <xf numFmtId="3" fontId="48" fillId="3" borderId="1" xfId="40" applyNumberFormat="1" applyFont="1" applyFill="1" applyBorder="1" applyProtection="1">
      <protection locked="0"/>
    </xf>
    <xf numFmtId="3" fontId="48" fillId="3" borderId="9" xfId="40" applyNumberFormat="1" applyFont="1" applyFill="1" applyBorder="1" applyProtection="1">
      <protection locked="0"/>
    </xf>
    <xf numFmtId="0" fontId="69" fillId="5" borderId="1" xfId="40" applyNumberFormat="1" applyFont="1" applyFill="1" applyBorder="1" applyProtection="1">
      <protection locked="0"/>
    </xf>
    <xf numFmtId="0" fontId="52" fillId="5" borderId="76" xfId="333" applyFont="1" applyFill="1" applyBorder="1" applyProtection="1">
      <protection locked="0"/>
    </xf>
    <xf numFmtId="0" fontId="52" fillId="5" borderId="5" xfId="333" applyFont="1" applyFill="1" applyBorder="1" applyProtection="1">
      <protection locked="0"/>
    </xf>
    <xf numFmtId="0" fontId="52" fillId="5" borderId="56" xfId="333" applyFont="1" applyFill="1" applyBorder="1" applyProtection="1">
      <protection locked="0"/>
    </xf>
    <xf numFmtId="3" fontId="48" fillId="3" borderId="188" xfId="40" applyNumberFormat="1" applyFont="1" applyFill="1" applyBorder="1" applyAlignment="1" applyProtection="1">
      <protection locked="0"/>
    </xf>
    <xf numFmtId="3" fontId="48" fillId="3" borderId="183" xfId="40" applyNumberFormat="1" applyFont="1" applyFill="1" applyBorder="1" applyAlignment="1" applyProtection="1">
      <protection locked="0"/>
    </xf>
    <xf numFmtId="3" fontId="48" fillId="3" borderId="180" xfId="40" applyNumberFormat="1" applyFont="1" applyFill="1" applyBorder="1" applyAlignment="1" applyProtection="1">
      <protection locked="0"/>
    </xf>
    <xf numFmtId="4" fontId="50" fillId="0" borderId="0" xfId="40" applyNumberFormat="1" applyFont="1" applyFill="1" applyBorder="1" applyProtection="1">
      <protection locked="0"/>
    </xf>
    <xf numFmtId="4" fontId="50" fillId="0" borderId="0" xfId="40" applyNumberFormat="1" applyFont="1" applyFill="1" applyBorder="1" applyAlignment="1" applyProtection="1">
      <protection locked="0"/>
    </xf>
    <xf numFmtId="173" fontId="50" fillId="0" borderId="0" xfId="40" applyNumberFormat="1" applyFont="1" applyFill="1" applyBorder="1" applyProtection="1">
      <protection locked="0"/>
    </xf>
    <xf numFmtId="3" fontId="48" fillId="3" borderId="6" xfId="333" applyNumberFormat="1" applyFont="1" applyFill="1" applyBorder="1" applyAlignment="1" applyProtection="1">
      <protection locked="0"/>
    </xf>
    <xf numFmtId="3" fontId="48" fillId="3" borderId="8" xfId="333" applyNumberFormat="1" applyFont="1" applyFill="1" applyBorder="1" applyAlignment="1" applyProtection="1">
      <protection locked="0"/>
    </xf>
    <xf numFmtId="3" fontId="48" fillId="3" borderId="1" xfId="333" applyNumberFormat="1" applyFont="1" applyFill="1" applyBorder="1" applyAlignment="1" applyProtection="1">
      <protection locked="0"/>
    </xf>
    <xf numFmtId="3" fontId="48" fillId="3" borderId="9" xfId="333" applyNumberFormat="1" applyFont="1" applyFill="1" applyBorder="1" applyAlignment="1" applyProtection="1">
      <protection locked="0"/>
    </xf>
    <xf numFmtId="3" fontId="48" fillId="3" borderId="232" xfId="333" applyNumberFormat="1" applyFont="1" applyFill="1" applyBorder="1" applyAlignment="1" applyProtection="1">
      <protection locked="0"/>
    </xf>
    <xf numFmtId="3" fontId="48" fillId="3" borderId="233" xfId="333" applyNumberFormat="1" applyFont="1" applyFill="1" applyBorder="1" applyAlignment="1" applyProtection="1">
      <protection locked="0"/>
    </xf>
    <xf numFmtId="3" fontId="48" fillId="3" borderId="188" xfId="333" applyNumberFormat="1" applyFont="1" applyFill="1" applyBorder="1" applyAlignment="1" applyProtection="1">
      <protection locked="0"/>
    </xf>
    <xf numFmtId="3" fontId="48" fillId="3" borderId="180" xfId="333" applyNumberFormat="1" applyFont="1" applyFill="1" applyBorder="1" applyAlignment="1" applyProtection="1">
      <protection locked="0"/>
    </xf>
    <xf numFmtId="3" fontId="48" fillId="3" borderId="160" xfId="333" applyNumberFormat="1" applyFont="1" applyFill="1" applyBorder="1" applyAlignment="1" applyProtection="1">
      <protection locked="0"/>
    </xf>
    <xf numFmtId="3" fontId="48" fillId="3" borderId="158" xfId="333" applyNumberFormat="1" applyFont="1" applyFill="1" applyBorder="1" applyAlignment="1" applyProtection="1">
      <protection locked="0"/>
    </xf>
    <xf numFmtId="3" fontId="48" fillId="3" borderId="159" xfId="333" applyNumberFormat="1" applyFont="1" applyFill="1" applyBorder="1" applyAlignment="1" applyProtection="1">
      <protection locked="0"/>
    </xf>
    <xf numFmtId="3" fontId="48" fillId="3" borderId="8" xfId="333" applyNumberFormat="1" applyFont="1" applyFill="1" applyBorder="1" applyProtection="1">
      <protection locked="0"/>
    </xf>
    <xf numFmtId="3" fontId="48" fillId="3" borderId="9" xfId="333" applyNumberFormat="1" applyFont="1" applyFill="1" applyBorder="1" applyProtection="1">
      <protection locked="0"/>
    </xf>
    <xf numFmtId="3" fontId="48" fillId="3" borderId="233" xfId="333" applyNumberFormat="1" applyFont="1" applyFill="1" applyBorder="1" applyProtection="1">
      <protection locked="0"/>
    </xf>
    <xf numFmtId="3" fontId="48" fillId="3" borderId="180" xfId="333" applyNumberFormat="1" applyFont="1" applyFill="1" applyBorder="1" applyProtection="1">
      <protection locked="0"/>
    </xf>
    <xf numFmtId="3" fontId="48" fillId="3" borderId="188" xfId="333" applyNumberFormat="1" applyFont="1" applyFill="1" applyBorder="1" applyProtection="1">
      <protection locked="0"/>
    </xf>
    <xf numFmtId="3" fontId="48" fillId="3" borderId="1" xfId="333" applyNumberFormat="1" applyFont="1" applyFill="1" applyBorder="1" applyProtection="1">
      <protection locked="0"/>
    </xf>
    <xf numFmtId="3" fontId="48" fillId="3" borderId="160" xfId="333" applyNumberFormat="1" applyFont="1" applyFill="1" applyBorder="1" applyProtection="1">
      <protection locked="0"/>
    </xf>
    <xf numFmtId="3" fontId="48" fillId="3" borderId="158" xfId="333" applyNumberFormat="1" applyFont="1" applyFill="1" applyBorder="1" applyProtection="1">
      <protection locked="0"/>
    </xf>
    <xf numFmtId="3" fontId="48" fillId="3" borderId="159" xfId="333" applyNumberFormat="1" applyFont="1" applyFill="1" applyBorder="1" applyProtection="1">
      <protection locked="0"/>
    </xf>
    <xf numFmtId="167" fontId="52" fillId="3" borderId="47" xfId="333" applyNumberFormat="1" applyFont="1" applyFill="1" applyBorder="1" applyAlignment="1" applyProtection="1">
      <alignment horizontal="center" wrapText="1"/>
      <protection locked="0"/>
    </xf>
    <xf numFmtId="167" fontId="52" fillId="3" borderId="51" xfId="333" applyNumberFormat="1" applyFont="1" applyFill="1" applyBorder="1" applyAlignment="1" applyProtection="1">
      <alignment horizontal="center" wrapText="1"/>
      <protection locked="0"/>
    </xf>
    <xf numFmtId="3" fontId="48" fillId="3" borderId="6" xfId="333" applyNumberFormat="1" applyFont="1" applyFill="1" applyBorder="1" applyProtection="1">
      <protection locked="0"/>
    </xf>
    <xf numFmtId="3" fontId="87" fillId="3" borderId="1" xfId="333" applyNumberFormat="1" applyFont="1" applyFill="1" applyBorder="1" applyAlignment="1" applyProtection="1">
      <protection locked="0"/>
    </xf>
    <xf numFmtId="3" fontId="87" fillId="3" borderId="9" xfId="333" applyNumberFormat="1" applyFont="1" applyFill="1" applyBorder="1" applyAlignment="1" applyProtection="1">
      <protection locked="0"/>
    </xf>
    <xf numFmtId="3" fontId="87" fillId="3" borderId="160" xfId="333" applyNumberFormat="1" applyFont="1" applyFill="1" applyBorder="1" applyAlignment="1" applyProtection="1">
      <protection locked="0"/>
    </xf>
    <xf numFmtId="3" fontId="87" fillId="3" borderId="159" xfId="333" applyNumberFormat="1" applyFont="1" applyFill="1" applyBorder="1" applyAlignment="1" applyProtection="1">
      <protection locked="0"/>
    </xf>
    <xf numFmtId="3" fontId="87" fillId="3" borderId="1" xfId="333" applyNumberFormat="1" applyFont="1" applyFill="1" applyBorder="1" applyProtection="1">
      <protection locked="0"/>
    </xf>
    <xf numFmtId="3" fontId="87" fillId="3" borderId="9" xfId="333" applyNumberFormat="1" applyFont="1" applyFill="1" applyBorder="1" applyProtection="1">
      <protection locked="0"/>
    </xf>
    <xf numFmtId="3" fontId="87" fillId="3" borderId="160" xfId="333" applyNumberFormat="1" applyFont="1" applyFill="1" applyBorder="1" applyProtection="1">
      <protection locked="0"/>
    </xf>
    <xf numFmtId="3" fontId="87" fillId="3" borderId="159" xfId="333" applyNumberFormat="1" applyFont="1" applyFill="1" applyBorder="1" applyProtection="1">
      <protection locked="0"/>
    </xf>
    <xf numFmtId="3" fontId="87" fillId="3" borderId="188" xfId="333" applyNumberFormat="1" applyFont="1" applyFill="1" applyBorder="1" applyProtection="1">
      <protection locked="0"/>
    </xf>
    <xf numFmtId="3" fontId="87" fillId="3" borderId="183" xfId="333" applyNumberFormat="1" applyFont="1" applyFill="1" applyBorder="1" applyProtection="1">
      <protection locked="0"/>
    </xf>
    <xf numFmtId="3" fontId="87" fillId="3" borderId="180" xfId="333" applyNumberFormat="1" applyFont="1" applyFill="1" applyBorder="1" applyProtection="1">
      <protection locked="0"/>
    </xf>
    <xf numFmtId="3" fontId="87" fillId="3" borderId="232" xfId="333" applyNumberFormat="1" applyFont="1" applyFill="1" applyBorder="1" applyAlignment="1" applyProtection="1">
      <protection locked="0"/>
    </xf>
    <xf numFmtId="3" fontId="87" fillId="3" borderId="233" xfId="333" applyNumberFormat="1" applyFont="1" applyFill="1" applyBorder="1" applyAlignment="1" applyProtection="1">
      <protection locked="0"/>
    </xf>
    <xf numFmtId="3" fontId="87" fillId="3" borderId="188" xfId="333" applyNumberFormat="1" applyFont="1" applyFill="1" applyBorder="1" applyAlignment="1" applyProtection="1">
      <protection locked="0"/>
    </xf>
    <xf numFmtId="3" fontId="87" fillId="3" borderId="183" xfId="333" applyNumberFormat="1" applyFont="1" applyFill="1" applyBorder="1" applyAlignment="1" applyProtection="1">
      <protection locked="0"/>
    </xf>
    <xf numFmtId="3" fontId="87" fillId="3" borderId="180" xfId="333" applyNumberFormat="1" applyFont="1" applyFill="1" applyBorder="1" applyAlignment="1" applyProtection="1">
      <protection locked="0"/>
    </xf>
    <xf numFmtId="4" fontId="48" fillId="32" borderId="53" xfId="9" applyNumberFormat="1" applyFont="1" applyFill="1" applyBorder="1" applyProtection="1">
      <protection locked="0"/>
    </xf>
    <xf numFmtId="0" fontId="62" fillId="2" borderId="0" xfId="0" applyFont="1" applyFill="1" applyBorder="1" applyAlignment="1" applyProtection="1">
      <alignment horizontal="left" wrapText="1"/>
    </xf>
    <xf numFmtId="0" fontId="62" fillId="2" borderId="82" xfId="0" applyFont="1" applyFill="1" applyBorder="1" applyAlignment="1" applyProtection="1">
      <alignment horizontal="left" wrapText="1"/>
    </xf>
    <xf numFmtId="0" fontId="54" fillId="3" borderId="119" xfId="0" applyFont="1" applyFill="1" applyBorder="1" applyAlignment="1" applyProtection="1">
      <alignment horizontal="left" vertical="center"/>
      <protection locked="0"/>
    </xf>
    <xf numFmtId="0" fontId="54" fillId="3" borderId="122" xfId="0" applyFont="1" applyFill="1" applyBorder="1" applyAlignment="1" applyProtection="1">
      <alignment horizontal="left" vertical="center"/>
      <protection locked="0"/>
    </xf>
    <xf numFmtId="0" fontId="54" fillId="3" borderId="123" xfId="0" applyFont="1" applyFill="1" applyBorder="1" applyAlignment="1" applyProtection="1">
      <alignment horizontal="left" vertical="center"/>
      <protection locked="0"/>
    </xf>
    <xf numFmtId="0" fontId="60" fillId="39" borderId="0" xfId="0" applyFont="1" applyFill="1" applyBorder="1" applyAlignment="1" applyProtection="1">
      <alignment horizontal="left" vertical="center" wrapText="1"/>
    </xf>
    <xf numFmtId="0" fontId="55" fillId="39" borderId="100" xfId="0" applyFont="1" applyFill="1" applyBorder="1" applyAlignment="1" applyProtection="1">
      <alignment horizontal="center" vertical="center" wrapText="1"/>
    </xf>
    <xf numFmtId="0" fontId="60" fillId="3" borderId="124" xfId="0" applyFont="1" applyFill="1" applyBorder="1" applyAlignment="1" applyProtection="1">
      <alignment horizontal="justify" vertical="top" wrapText="1"/>
      <protection locked="0"/>
    </xf>
    <xf numFmtId="0" fontId="60" fillId="0" borderId="116" xfId="0" applyFont="1" applyBorder="1" applyAlignment="1" applyProtection="1">
      <alignment horizontal="justify" vertical="top"/>
      <protection locked="0"/>
    </xf>
    <xf numFmtId="0" fontId="60" fillId="0" borderId="125" xfId="0" applyFont="1" applyBorder="1" applyAlignment="1" applyProtection="1">
      <alignment horizontal="justify" vertical="top"/>
      <protection locked="0"/>
    </xf>
    <xf numFmtId="0" fontId="60" fillId="0" borderId="114" xfId="0" applyFont="1" applyBorder="1" applyAlignment="1" applyProtection="1">
      <alignment horizontal="justify" vertical="top"/>
      <protection locked="0"/>
    </xf>
    <xf numFmtId="0" fontId="60" fillId="0" borderId="0" xfId="0" applyFont="1" applyBorder="1" applyAlignment="1" applyProtection="1">
      <alignment horizontal="justify" vertical="top"/>
      <protection locked="0"/>
    </xf>
    <xf numFmtId="0" fontId="60" fillId="0" borderId="126" xfId="0" applyFont="1" applyBorder="1" applyAlignment="1" applyProtection="1">
      <alignment horizontal="justify" vertical="top"/>
      <protection locked="0"/>
    </xf>
    <xf numFmtId="0" fontId="60" fillId="0" borderId="127" xfId="0" applyFont="1" applyBorder="1" applyAlignment="1" applyProtection="1">
      <alignment horizontal="justify" vertical="top"/>
      <protection locked="0"/>
    </xf>
    <xf numFmtId="0" fontId="60" fillId="0" borderId="107" xfId="0" applyFont="1" applyBorder="1" applyAlignment="1" applyProtection="1">
      <alignment horizontal="justify" vertical="top"/>
      <protection locked="0"/>
    </xf>
    <xf numFmtId="0" fontId="60" fillId="0" borderId="128" xfId="0" applyFont="1" applyBorder="1" applyAlignment="1" applyProtection="1">
      <alignment horizontal="justify" vertical="top"/>
      <protection locked="0"/>
    </xf>
    <xf numFmtId="0" fontId="47" fillId="46" borderId="82" xfId="0" applyFont="1" applyFill="1" applyBorder="1" applyAlignment="1" applyProtection="1">
      <alignment horizontal="center" vertical="center" wrapText="1"/>
    </xf>
    <xf numFmtId="0" fontId="47" fillId="46" borderId="85" xfId="0" applyFont="1" applyFill="1" applyBorder="1" applyAlignment="1" applyProtection="1">
      <alignment horizontal="center" vertical="center" wrapText="1"/>
    </xf>
    <xf numFmtId="0" fontId="46" fillId="41" borderId="98" xfId="0" applyFont="1" applyFill="1" applyBorder="1" applyAlignment="1" applyProtection="1">
      <alignment horizontal="left" vertical="center"/>
    </xf>
    <xf numFmtId="0" fontId="46" fillId="41" borderId="80" xfId="0" applyFont="1" applyFill="1" applyBorder="1" applyAlignment="1" applyProtection="1">
      <alignment horizontal="left" vertical="center"/>
    </xf>
    <xf numFmtId="0" fontId="46" fillId="41" borderId="81" xfId="0" applyFont="1" applyFill="1" applyBorder="1" applyAlignment="1" applyProtection="1">
      <alignment horizontal="left" vertical="center"/>
    </xf>
    <xf numFmtId="0" fontId="46" fillId="41" borderId="83" xfId="0" applyFont="1" applyFill="1" applyBorder="1" applyAlignment="1" applyProtection="1">
      <alignment horizontal="left" vertical="center"/>
    </xf>
    <xf numFmtId="0" fontId="46" fillId="41" borderId="84" xfId="0" applyFont="1" applyFill="1" applyBorder="1" applyAlignment="1" applyProtection="1">
      <alignment horizontal="left" vertical="center"/>
    </xf>
    <xf numFmtId="0" fontId="46" fillId="41" borderId="85" xfId="0" applyFont="1" applyFill="1" applyBorder="1" applyAlignment="1" applyProtection="1">
      <alignment horizontal="left" vertical="center"/>
    </xf>
    <xf numFmtId="0" fontId="47" fillId="40" borderId="91" xfId="0" applyFont="1" applyFill="1" applyBorder="1" applyAlignment="1" applyProtection="1">
      <alignment horizontal="center" vertical="center" wrapText="1"/>
    </xf>
    <xf numFmtId="0" fontId="47" fillId="40" borderId="92" xfId="0" applyFont="1" applyFill="1" applyBorder="1" applyAlignment="1" applyProtection="1">
      <alignment horizontal="center" vertical="center" wrapText="1"/>
    </xf>
    <xf numFmtId="0" fontId="47" fillId="40" borderId="0" xfId="0" applyFont="1" applyFill="1" applyBorder="1" applyAlignment="1" applyProtection="1">
      <alignment horizontal="center" vertical="center" wrapText="1"/>
    </xf>
    <xf numFmtId="0" fontId="47" fillId="40" borderId="84" xfId="0" applyFont="1" applyFill="1" applyBorder="1" applyAlignment="1" applyProtection="1">
      <alignment horizontal="center" vertical="center" wrapText="1"/>
    </xf>
    <xf numFmtId="0" fontId="47" fillId="46" borderId="0" xfId="0" applyFont="1" applyFill="1" applyBorder="1" applyAlignment="1" applyProtection="1">
      <alignment horizontal="center" vertical="center" wrapText="1"/>
    </xf>
    <xf numFmtId="0" fontId="47" fillId="46" borderId="84" xfId="0" applyFont="1" applyFill="1" applyBorder="1" applyAlignment="1" applyProtection="1">
      <alignment horizontal="center" vertical="center" wrapText="1"/>
    </xf>
    <xf numFmtId="0" fontId="47" fillId="40" borderId="105" xfId="0" applyFont="1" applyFill="1" applyBorder="1" applyAlignment="1" applyProtection="1">
      <alignment horizontal="center" vertical="center" wrapText="1"/>
    </xf>
    <xf numFmtId="0" fontId="47" fillId="40" borderId="82" xfId="0" applyFont="1" applyFill="1" applyBorder="1" applyAlignment="1" applyProtection="1">
      <alignment horizontal="center" vertical="center" wrapText="1"/>
    </xf>
    <xf numFmtId="0" fontId="47" fillId="46" borderId="110" xfId="0" applyFont="1" applyFill="1" applyBorder="1" applyAlignment="1" applyProtection="1">
      <alignment horizontal="center" vertical="center" wrapText="1"/>
    </xf>
    <xf numFmtId="0" fontId="47" fillId="46" borderId="111" xfId="0" applyFont="1" applyFill="1" applyBorder="1" applyAlignment="1" applyProtection="1">
      <alignment horizontal="center" vertical="center" wrapText="1"/>
    </xf>
    <xf numFmtId="0" fontId="47" fillId="46" borderId="91" xfId="0" applyFont="1" applyFill="1" applyBorder="1" applyAlignment="1" applyProtection="1">
      <alignment horizontal="center" vertical="center" wrapText="1"/>
    </xf>
    <xf numFmtId="0" fontId="47" fillId="46" borderId="92" xfId="0" applyFont="1" applyFill="1" applyBorder="1" applyAlignment="1" applyProtection="1">
      <alignment horizontal="center" vertical="center" wrapText="1"/>
    </xf>
    <xf numFmtId="3" fontId="50" fillId="0" borderId="119" xfId="0" applyNumberFormat="1" applyFont="1" applyFill="1" applyBorder="1" applyAlignment="1" applyProtection="1">
      <alignment horizontal="center"/>
    </xf>
    <xf numFmtId="3" fontId="50" fillId="0" borderId="123" xfId="0" applyNumberFormat="1" applyFont="1" applyFill="1" applyBorder="1" applyAlignment="1" applyProtection="1">
      <alignment horizontal="center"/>
    </xf>
    <xf numFmtId="0" fontId="50" fillId="35" borderId="100" xfId="0" applyFont="1" applyFill="1" applyBorder="1" applyAlignment="1" applyProtection="1">
      <alignment horizontal="center" vertical="center" textRotation="90"/>
    </xf>
    <xf numFmtId="0" fontId="50" fillId="35" borderId="138" xfId="0" applyFont="1" applyFill="1" applyBorder="1" applyAlignment="1" applyProtection="1">
      <alignment horizontal="center" vertical="center" textRotation="90"/>
    </xf>
    <xf numFmtId="0" fontId="50" fillId="35" borderId="108" xfId="0" applyFont="1" applyFill="1" applyBorder="1" applyAlignment="1" applyProtection="1">
      <alignment horizontal="center" vertical="center" textRotation="90"/>
    </xf>
    <xf numFmtId="171" fontId="54" fillId="0" borderId="119" xfId="0" applyNumberFormat="1" applyFont="1" applyFill="1" applyBorder="1" applyAlignment="1" applyProtection="1">
      <alignment horizontal="center" vertical="center"/>
    </xf>
    <xf numFmtId="171" fontId="54" fillId="0" borderId="123" xfId="0" applyNumberFormat="1" applyFont="1" applyFill="1" applyBorder="1" applyAlignment="1" applyProtection="1">
      <alignment horizontal="center" vertical="center"/>
    </xf>
    <xf numFmtId="0" fontId="67" fillId="0" borderId="0" xfId="0" applyFont="1" applyAlignment="1" applyProtection="1">
      <alignment horizontal="left" vertical="center" wrapText="1"/>
    </xf>
    <xf numFmtId="0" fontId="47" fillId="6" borderId="119" xfId="0" applyFont="1" applyFill="1" applyBorder="1" applyAlignment="1" applyProtection="1">
      <alignment horizontal="right"/>
    </xf>
    <xf numFmtId="0" fontId="47" fillId="6" borderId="122" xfId="0" applyFont="1" applyFill="1" applyBorder="1" applyAlignment="1" applyProtection="1">
      <alignment horizontal="right"/>
    </xf>
    <xf numFmtId="0" fontId="50" fillId="35" borderId="134" xfId="0" applyFont="1" applyFill="1" applyBorder="1" applyAlignment="1" applyProtection="1">
      <alignment horizontal="center" vertical="center" textRotation="90"/>
    </xf>
    <xf numFmtId="0" fontId="50" fillId="35" borderId="135" xfId="0" applyFont="1" applyFill="1" applyBorder="1" applyAlignment="1" applyProtection="1">
      <alignment horizontal="center" vertical="center" textRotation="90"/>
    </xf>
    <xf numFmtId="0" fontId="50" fillId="35" borderId="136" xfId="0" applyFont="1" applyFill="1" applyBorder="1" applyAlignment="1" applyProtection="1">
      <alignment horizontal="center" vertical="center" textRotation="90"/>
    </xf>
    <xf numFmtId="0" fontId="50" fillId="35" borderId="137" xfId="0" applyFont="1" applyFill="1" applyBorder="1" applyAlignment="1" applyProtection="1">
      <alignment horizontal="center" vertical="center" textRotation="90"/>
    </xf>
    <xf numFmtId="0" fontId="50" fillId="35" borderId="136" xfId="0" applyFont="1" applyFill="1" applyBorder="1" applyAlignment="1" applyProtection="1">
      <alignment horizontal="center" vertical="center"/>
    </xf>
    <xf numFmtId="0" fontId="50" fillId="35" borderId="137" xfId="0" applyFont="1" applyFill="1" applyBorder="1" applyAlignment="1" applyProtection="1">
      <alignment horizontal="center" vertical="center"/>
    </xf>
    <xf numFmtId="0" fontId="50" fillId="35" borderId="251" xfId="0" applyFont="1" applyFill="1" applyBorder="1" applyAlignment="1" applyProtection="1">
      <alignment horizontal="center" vertical="center"/>
    </xf>
    <xf numFmtId="0" fontId="46" fillId="2" borderId="6" xfId="0" applyFont="1" applyFill="1" applyBorder="1" applyAlignment="1" applyProtection="1">
      <alignment horizontal="left" vertical="center"/>
    </xf>
    <xf numFmtId="0" fontId="46" fillId="2" borderId="7" xfId="0" applyFont="1" applyFill="1" applyBorder="1" applyAlignment="1" applyProtection="1">
      <alignment horizontal="left" vertical="center"/>
    </xf>
    <xf numFmtId="0" fontId="55" fillId="0" borderId="7" xfId="0" applyFont="1" applyBorder="1" applyAlignment="1"/>
    <xf numFmtId="0" fontId="55" fillId="0" borderId="8" xfId="0" applyFont="1" applyBorder="1" applyAlignment="1"/>
    <xf numFmtId="0" fontId="46" fillId="2" borderId="12" xfId="0" applyFont="1" applyFill="1" applyBorder="1" applyAlignment="1" applyProtection="1">
      <alignment horizontal="left" vertical="center"/>
    </xf>
    <xf numFmtId="0" fontId="46" fillId="2" borderId="10" xfId="0" applyFont="1" applyFill="1" applyBorder="1" applyAlignment="1" applyProtection="1">
      <alignment horizontal="left" vertical="center"/>
    </xf>
    <xf numFmtId="0" fontId="55" fillId="0" borderId="10" xfId="0" applyFont="1" applyBorder="1" applyAlignment="1"/>
    <xf numFmtId="0" fontId="55" fillId="0" borderId="11" xfId="0" applyFont="1" applyBorder="1" applyAlignment="1"/>
    <xf numFmtId="0" fontId="53" fillId="0" borderId="13" xfId="0" applyFont="1" applyBorder="1" applyAlignment="1" applyProtection="1">
      <alignment vertical="top" wrapText="1"/>
    </xf>
    <xf numFmtId="0" fontId="55" fillId="0" borderId="17" xfId="0" applyFont="1" applyBorder="1" applyAlignment="1">
      <alignment vertical="top" wrapText="1"/>
    </xf>
    <xf numFmtId="0" fontId="55" fillId="0" borderId="18" xfId="0" applyFont="1" applyBorder="1" applyAlignment="1">
      <alignment vertical="top" wrapText="1"/>
    </xf>
    <xf numFmtId="0" fontId="62" fillId="0" borderId="13" xfId="0" applyFont="1" applyBorder="1" applyAlignment="1" applyProtection="1">
      <alignment vertical="top" wrapText="1"/>
    </xf>
    <xf numFmtId="0" fontId="47" fillId="40" borderId="7" xfId="13" applyFont="1" applyFill="1" applyBorder="1" applyAlignment="1" applyProtection="1">
      <alignment horizontal="center" vertical="center"/>
    </xf>
    <xf numFmtId="0" fontId="47" fillId="40" borderId="10" xfId="13" applyFont="1" applyFill="1" applyBorder="1" applyAlignment="1" applyProtection="1">
      <alignment horizontal="center" vertical="center"/>
    </xf>
    <xf numFmtId="0" fontId="47" fillId="7" borderId="6" xfId="13" applyFont="1" applyFill="1" applyBorder="1" applyAlignment="1" applyProtection="1">
      <alignment horizontal="center" vertical="center"/>
    </xf>
    <xf numFmtId="0" fontId="47" fillId="7" borderId="160" xfId="13" applyFont="1" applyFill="1" applyBorder="1" applyAlignment="1" applyProtection="1">
      <alignment horizontal="center" vertical="center"/>
    </xf>
    <xf numFmtId="0" fontId="47" fillId="7" borderId="7" xfId="13" applyFont="1" applyFill="1" applyBorder="1" applyAlignment="1" applyProtection="1">
      <alignment horizontal="center" vertical="center"/>
    </xf>
    <xf numFmtId="0" fontId="47" fillId="7" borderId="158" xfId="13" applyFont="1" applyFill="1" applyBorder="1" applyAlignment="1" applyProtection="1">
      <alignment horizontal="center" vertical="center"/>
    </xf>
    <xf numFmtId="0" fontId="47" fillId="40" borderId="6" xfId="13" applyFont="1" applyFill="1" applyBorder="1" applyAlignment="1" applyProtection="1">
      <alignment horizontal="center" vertical="center"/>
    </xf>
    <xf numFmtId="0" fontId="47" fillId="40" borderId="12" xfId="13" applyFont="1" applyFill="1" applyBorder="1" applyAlignment="1" applyProtection="1">
      <alignment horizontal="center" vertical="center"/>
    </xf>
    <xf numFmtId="0" fontId="47" fillId="40" borderId="158" xfId="13" applyFont="1" applyFill="1" applyBorder="1" applyAlignment="1" applyProtection="1">
      <alignment horizontal="center" vertical="center"/>
    </xf>
    <xf numFmtId="0" fontId="47" fillId="7" borderId="8" xfId="13" applyFont="1" applyFill="1" applyBorder="1" applyAlignment="1" applyProtection="1">
      <alignment horizontal="center" vertical="center"/>
    </xf>
    <xf numFmtId="0" fontId="47" fillId="7" borderId="159" xfId="13" applyFont="1" applyFill="1" applyBorder="1" applyAlignment="1" applyProtection="1">
      <alignment horizontal="center" vertical="center"/>
    </xf>
    <xf numFmtId="0" fontId="47" fillId="40" borderId="8" xfId="13" applyFont="1" applyFill="1" applyBorder="1" applyAlignment="1" applyProtection="1">
      <alignment horizontal="center" vertical="center"/>
    </xf>
    <xf numFmtId="0" fontId="47" fillId="40" borderId="159" xfId="13" applyFont="1" applyFill="1" applyBorder="1" applyAlignment="1" applyProtection="1">
      <alignment horizontal="center" vertical="center"/>
    </xf>
    <xf numFmtId="0" fontId="47" fillId="40" borderId="160" xfId="13" applyFont="1" applyFill="1" applyBorder="1" applyAlignment="1" applyProtection="1">
      <alignment horizontal="center" vertical="center"/>
    </xf>
    <xf numFmtId="0" fontId="47" fillId="42" borderId="7" xfId="0" applyFont="1" applyFill="1" applyBorder="1" applyAlignment="1" applyProtection="1">
      <alignment horizontal="center" vertical="center"/>
    </xf>
    <xf numFmtId="0" fontId="47" fillId="42" borderId="10" xfId="0" applyFont="1" applyFill="1" applyBorder="1" applyAlignment="1" applyProtection="1">
      <alignment horizontal="center" vertical="center"/>
    </xf>
    <xf numFmtId="0" fontId="47" fillId="40" borderId="11" xfId="13" applyFont="1" applyFill="1" applyBorder="1" applyAlignment="1" applyProtection="1">
      <alignment horizontal="center" vertical="center"/>
    </xf>
    <xf numFmtId="0" fontId="47" fillId="7" borderId="8" xfId="0" applyFont="1" applyFill="1" applyBorder="1" applyAlignment="1" applyProtection="1">
      <alignment horizontal="center" vertical="center"/>
    </xf>
    <xf numFmtId="0" fontId="47" fillId="7" borderId="159" xfId="0" applyFont="1" applyFill="1" applyBorder="1" applyAlignment="1" applyProtection="1">
      <alignment horizontal="center" vertical="center"/>
    </xf>
    <xf numFmtId="0" fontId="47" fillId="42" borderId="8" xfId="0" applyFont="1" applyFill="1" applyBorder="1" applyAlignment="1" applyProtection="1">
      <alignment horizontal="center" vertical="center"/>
    </xf>
    <xf numFmtId="0" fontId="47" fillId="42" borderId="11" xfId="0" applyFont="1" applyFill="1" applyBorder="1" applyAlignment="1" applyProtection="1">
      <alignment horizontal="center" vertical="center"/>
    </xf>
    <xf numFmtId="0" fontId="47" fillId="7" borderId="6" xfId="0" applyFont="1" applyFill="1" applyBorder="1" applyAlignment="1" applyProtection="1">
      <alignment horizontal="center" vertical="center"/>
    </xf>
    <xf numFmtId="0" fontId="47" fillId="7" borderId="160" xfId="0" applyFont="1" applyFill="1" applyBorder="1" applyAlignment="1" applyProtection="1">
      <alignment horizontal="center" vertical="center"/>
    </xf>
    <xf numFmtId="0" fontId="47" fillId="40" borderId="6" xfId="0" applyFont="1" applyFill="1" applyBorder="1" applyAlignment="1" applyProtection="1">
      <alignment horizontal="center" vertical="center"/>
    </xf>
    <xf numFmtId="0" fontId="47" fillId="40" borderId="160" xfId="0" applyFont="1" applyFill="1" applyBorder="1" applyAlignment="1" applyProtection="1">
      <alignment horizontal="center" vertical="center"/>
    </xf>
    <xf numFmtId="0" fontId="47" fillId="40" borderId="7" xfId="0" applyFont="1" applyFill="1" applyBorder="1" applyAlignment="1" applyProtection="1">
      <alignment horizontal="center" vertical="center"/>
    </xf>
    <xf numFmtId="0" fontId="47" fillId="40" borderId="158" xfId="0" applyFont="1" applyFill="1" applyBorder="1" applyAlignment="1" applyProtection="1">
      <alignment horizontal="center" vertical="center"/>
    </xf>
    <xf numFmtId="0" fontId="47" fillId="7" borderId="7" xfId="0" applyFont="1" applyFill="1" applyBorder="1" applyAlignment="1" applyProtection="1">
      <alignment horizontal="center" vertical="center"/>
    </xf>
    <xf numFmtId="0" fontId="47" fillId="7" borderId="158" xfId="0" applyFont="1" applyFill="1" applyBorder="1" applyAlignment="1" applyProtection="1">
      <alignment horizontal="center" vertical="center"/>
    </xf>
    <xf numFmtId="0" fontId="47" fillId="42" borderId="6" xfId="0" applyFont="1" applyFill="1" applyBorder="1" applyAlignment="1" applyProtection="1">
      <alignment horizontal="center" vertical="center"/>
    </xf>
    <xf numFmtId="0" fontId="47" fillId="42" borderId="12" xfId="0" applyFont="1" applyFill="1" applyBorder="1" applyAlignment="1" applyProtection="1">
      <alignment horizontal="center" vertical="center"/>
    </xf>
    <xf numFmtId="0" fontId="47" fillId="40" borderId="8" xfId="0" applyFont="1" applyFill="1" applyBorder="1" applyAlignment="1" applyProtection="1">
      <alignment horizontal="center" vertical="center"/>
    </xf>
    <xf numFmtId="0" fontId="47" fillId="40" borderId="159" xfId="0" applyFont="1" applyFill="1" applyBorder="1" applyAlignment="1" applyProtection="1">
      <alignment horizontal="center" vertical="center"/>
    </xf>
    <xf numFmtId="0" fontId="54" fillId="2" borderId="39" xfId="13" applyFont="1" applyFill="1" applyBorder="1" applyAlignment="1" applyProtection="1">
      <alignment horizontal="center" vertical="center"/>
    </xf>
    <xf numFmtId="0" fontId="54" fillId="2" borderId="53" xfId="13" applyFont="1" applyFill="1" applyBorder="1" applyAlignment="1" applyProtection="1">
      <alignment horizontal="center" vertical="center"/>
    </xf>
    <xf numFmtId="0" fontId="54" fillId="2" borderId="51" xfId="13" applyFont="1" applyFill="1" applyBorder="1" applyAlignment="1" applyProtection="1">
      <alignment horizontal="center" vertical="center"/>
    </xf>
    <xf numFmtId="0" fontId="47" fillId="40" borderId="6" xfId="40" applyFont="1" applyFill="1" applyBorder="1" applyAlignment="1" applyProtection="1">
      <alignment horizontal="center" vertical="center"/>
    </xf>
    <xf numFmtId="0" fontId="47" fillId="40" borderId="160" xfId="40" applyFont="1" applyFill="1" applyBorder="1" applyAlignment="1" applyProtection="1">
      <alignment horizontal="center" vertical="center"/>
    </xf>
    <xf numFmtId="0" fontId="47" fillId="40" borderId="7" xfId="40" applyFont="1" applyFill="1" applyBorder="1" applyAlignment="1" applyProtection="1">
      <alignment horizontal="center" vertical="center"/>
    </xf>
    <xf numFmtId="0" fontId="47" fillId="40" borderId="158" xfId="40" applyFont="1" applyFill="1" applyBorder="1" applyAlignment="1" applyProtection="1">
      <alignment horizontal="center" vertical="center"/>
    </xf>
    <xf numFmtId="0" fontId="47" fillId="7" borderId="7" xfId="40" applyFont="1" applyFill="1" applyBorder="1" applyAlignment="1" applyProtection="1">
      <alignment horizontal="center" vertical="center"/>
    </xf>
    <xf numFmtId="0" fontId="47" fillId="7" borderId="158" xfId="40" applyFont="1" applyFill="1" applyBorder="1" applyAlignment="1" applyProtection="1">
      <alignment horizontal="center" vertical="center"/>
    </xf>
    <xf numFmtId="0" fontId="47" fillId="40" borderId="8" xfId="40" applyFont="1" applyFill="1" applyBorder="1" applyAlignment="1" applyProtection="1">
      <alignment horizontal="center" vertical="center"/>
    </xf>
    <xf numFmtId="0" fontId="47" fillId="40" borderId="159" xfId="40" applyFont="1" applyFill="1" applyBorder="1" applyAlignment="1" applyProtection="1">
      <alignment horizontal="center" vertical="center"/>
    </xf>
    <xf numFmtId="0" fontId="47" fillId="7" borderId="8" xfId="40" applyFont="1" applyFill="1" applyBorder="1" applyAlignment="1" applyProtection="1">
      <alignment horizontal="center" vertical="center"/>
    </xf>
    <xf numFmtId="0" fontId="47" fillId="7" borderId="159" xfId="40" applyFont="1" applyFill="1" applyBorder="1" applyAlignment="1" applyProtection="1">
      <alignment horizontal="center" vertical="center"/>
    </xf>
    <xf numFmtId="0" fontId="47" fillId="42" borderId="7" xfId="40" applyFont="1" applyFill="1" applyBorder="1" applyAlignment="1" applyProtection="1">
      <alignment horizontal="center" vertical="center"/>
    </xf>
    <xf numFmtId="0" fontId="47" fillId="42" borderId="10" xfId="40" applyFont="1" applyFill="1" applyBorder="1" applyAlignment="1" applyProtection="1">
      <alignment horizontal="center" vertical="center"/>
    </xf>
    <xf numFmtId="0" fontId="47" fillId="42" borderId="8" xfId="40" applyFont="1" applyFill="1" applyBorder="1" applyAlignment="1" applyProtection="1">
      <alignment horizontal="center" vertical="center"/>
    </xf>
    <xf numFmtId="0" fontId="47" fillId="42" borderId="11" xfId="40" applyFont="1" applyFill="1" applyBorder="1" applyAlignment="1" applyProtection="1">
      <alignment horizontal="center" vertical="center"/>
    </xf>
    <xf numFmtId="0" fontId="47" fillId="7" borderId="6" xfId="40" applyFont="1" applyFill="1" applyBorder="1" applyAlignment="1" applyProtection="1">
      <alignment horizontal="center" vertical="center"/>
    </xf>
    <xf numFmtId="0" fontId="47" fillId="7" borderId="160" xfId="40" applyFont="1" applyFill="1" applyBorder="1" applyAlignment="1" applyProtection="1">
      <alignment horizontal="center" vertical="center"/>
    </xf>
    <xf numFmtId="0" fontId="47" fillId="42" borderId="6" xfId="40" applyFont="1" applyFill="1" applyBorder="1" applyAlignment="1" applyProtection="1">
      <alignment horizontal="center" vertical="center"/>
    </xf>
    <xf numFmtId="0" fontId="47" fillId="42" borderId="12" xfId="40" applyFont="1" applyFill="1" applyBorder="1" applyAlignment="1" applyProtection="1">
      <alignment horizontal="center" vertical="center"/>
    </xf>
    <xf numFmtId="0" fontId="62" fillId="0" borderId="6" xfId="0" applyFont="1" applyBorder="1" applyAlignment="1" applyProtection="1">
      <alignment horizontal="left" wrapText="1"/>
    </xf>
    <xf numFmtId="0" fontId="62" fillId="0" borderId="7" xfId="0" applyFont="1" applyBorder="1" applyAlignment="1" applyProtection="1">
      <alignment horizontal="left" wrapText="1"/>
    </xf>
    <xf numFmtId="0" fontId="62" fillId="0" borderId="8" xfId="0" applyFont="1" applyBorder="1" applyAlignment="1" applyProtection="1">
      <alignment horizontal="left" wrapText="1"/>
    </xf>
    <xf numFmtId="0" fontId="62" fillId="0" borderId="160" xfId="0" applyFont="1" applyBorder="1" applyAlignment="1" applyProtection="1">
      <alignment horizontal="left" wrapText="1"/>
    </xf>
    <xf numFmtId="0" fontId="62" fillId="0" borderId="158" xfId="0" applyFont="1" applyBorder="1" applyAlignment="1" applyProtection="1">
      <alignment horizontal="left" wrapText="1"/>
    </xf>
    <xf numFmtId="0" fontId="62" fillId="0" borderId="159" xfId="0" applyFont="1" applyBorder="1" applyAlignment="1" applyProtection="1">
      <alignment horizontal="left" wrapText="1"/>
    </xf>
    <xf numFmtId="0" fontId="62" fillId="0" borderId="12" xfId="0" applyFont="1" applyBorder="1" applyAlignment="1" applyProtection="1">
      <alignment wrapText="1"/>
    </xf>
    <xf numFmtId="0" fontId="55" fillId="0" borderId="10" xfId="0" applyFont="1" applyBorder="1" applyAlignment="1">
      <alignment wrapText="1"/>
    </xf>
    <xf numFmtId="0" fontId="55" fillId="0" borderId="11" xfId="0" applyFont="1" applyBorder="1" applyAlignment="1">
      <alignment wrapText="1"/>
    </xf>
    <xf numFmtId="0" fontId="47" fillId="40" borderId="7" xfId="333" applyFont="1" applyFill="1" applyBorder="1" applyAlignment="1" applyProtection="1">
      <alignment horizontal="center" vertical="center"/>
    </xf>
    <xf numFmtId="0" fontId="47" fillId="40" borderId="158" xfId="333" applyFont="1" applyFill="1" applyBorder="1" applyAlignment="1" applyProtection="1">
      <alignment horizontal="center" vertical="center"/>
    </xf>
    <xf numFmtId="0" fontId="47" fillId="40" borderId="6" xfId="333" applyFont="1" applyFill="1" applyBorder="1" applyAlignment="1" applyProtection="1">
      <alignment horizontal="center" vertical="center"/>
    </xf>
    <xf numFmtId="0" fontId="47" fillId="40" borderId="160" xfId="333" applyFont="1" applyFill="1" applyBorder="1" applyAlignment="1" applyProtection="1">
      <alignment horizontal="center" vertical="center"/>
    </xf>
    <xf numFmtId="0" fontId="47" fillId="40" borderId="8" xfId="333" applyFont="1" applyFill="1" applyBorder="1" applyAlignment="1" applyProtection="1">
      <alignment horizontal="center" vertical="center"/>
    </xf>
    <xf numFmtId="0" fontId="47" fillId="40" borderId="159" xfId="333" applyFont="1" applyFill="1" applyBorder="1" applyAlignment="1" applyProtection="1">
      <alignment horizontal="center" vertical="center"/>
    </xf>
    <xf numFmtId="0" fontId="47" fillId="7" borderId="8" xfId="333" applyFont="1" applyFill="1" applyBorder="1" applyAlignment="1" applyProtection="1">
      <alignment horizontal="center" vertical="center"/>
    </xf>
    <xf numFmtId="0" fontId="47" fillId="7" borderId="159" xfId="333" applyFont="1" applyFill="1" applyBorder="1" applyAlignment="1" applyProtection="1">
      <alignment horizontal="center" vertical="center"/>
    </xf>
    <xf numFmtId="0" fontId="47" fillId="43" borderId="7" xfId="333" applyFont="1" applyFill="1" applyBorder="1" applyAlignment="1" applyProtection="1">
      <alignment horizontal="center" vertical="center"/>
    </xf>
    <xf numFmtId="0" fontId="47" fillId="43" borderId="158" xfId="333" applyFont="1" applyFill="1" applyBorder="1" applyAlignment="1" applyProtection="1">
      <alignment horizontal="center" vertical="center"/>
    </xf>
    <xf numFmtId="0" fontId="47" fillId="43" borderId="8" xfId="333" applyFont="1" applyFill="1" applyBorder="1" applyAlignment="1" applyProtection="1">
      <alignment horizontal="center" vertical="center"/>
    </xf>
    <xf numFmtId="0" fontId="47" fillId="43" borderId="159" xfId="333" applyFont="1" applyFill="1" applyBorder="1" applyAlignment="1" applyProtection="1">
      <alignment horizontal="center" vertical="center"/>
    </xf>
    <xf numFmtId="0" fontId="47" fillId="7" borderId="7" xfId="333" applyFont="1" applyFill="1" applyBorder="1" applyAlignment="1" applyProtection="1">
      <alignment horizontal="center" vertical="center"/>
    </xf>
    <xf numFmtId="0" fontId="47" fillId="7" borderId="158" xfId="333" applyFont="1" applyFill="1" applyBorder="1" applyAlignment="1" applyProtection="1">
      <alignment horizontal="center" vertical="center"/>
    </xf>
    <xf numFmtId="0" fontId="47" fillId="43" borderId="6" xfId="333" applyFont="1" applyFill="1" applyBorder="1" applyAlignment="1" applyProtection="1">
      <alignment horizontal="center" vertical="center"/>
    </xf>
    <xf numFmtId="0" fontId="47" fillId="43" borderId="160" xfId="333" applyFont="1" applyFill="1" applyBorder="1" applyAlignment="1" applyProtection="1">
      <alignment horizontal="center" vertical="center"/>
    </xf>
    <xf numFmtId="0" fontId="47" fillId="42" borderId="7" xfId="333" applyFont="1" applyFill="1" applyBorder="1" applyAlignment="1" applyProtection="1">
      <alignment horizontal="center" vertical="center"/>
    </xf>
    <xf numFmtId="0" fontId="47" fillId="42" borderId="10" xfId="333" applyFont="1" applyFill="1" applyBorder="1" applyAlignment="1" applyProtection="1">
      <alignment horizontal="center" vertical="center"/>
    </xf>
    <xf numFmtId="0" fontId="47" fillId="7" borderId="6" xfId="333" applyFont="1" applyFill="1" applyBorder="1" applyAlignment="1" applyProtection="1">
      <alignment horizontal="center" vertical="center"/>
    </xf>
    <xf numFmtId="0" fontId="47" fillId="7" borderId="160" xfId="333" applyFont="1" applyFill="1" applyBorder="1" applyAlignment="1" applyProtection="1">
      <alignment horizontal="center" vertical="center"/>
    </xf>
    <xf numFmtId="0" fontId="47" fillId="42" borderId="6" xfId="333" applyFont="1" applyFill="1" applyBorder="1" applyAlignment="1" applyProtection="1">
      <alignment horizontal="center" vertical="center"/>
    </xf>
    <xf numFmtId="0" fontId="47" fillId="42" borderId="12" xfId="333" applyFont="1" applyFill="1" applyBorder="1" applyAlignment="1" applyProtection="1">
      <alignment horizontal="center" vertical="center"/>
    </xf>
    <xf numFmtId="0" fontId="47" fillId="42" borderId="8" xfId="333" applyFont="1" applyFill="1" applyBorder="1" applyAlignment="1" applyProtection="1">
      <alignment horizontal="center" vertical="center"/>
    </xf>
    <xf numFmtId="0" fontId="47" fillId="42" borderId="11" xfId="333" applyFont="1" applyFill="1" applyBorder="1" applyAlignment="1" applyProtection="1">
      <alignment horizontal="center" vertical="center"/>
    </xf>
    <xf numFmtId="0" fontId="50" fillId="35" borderId="1" xfId="333" applyNumberFormat="1" applyFont="1" applyFill="1" applyBorder="1" applyAlignment="1" applyProtection="1">
      <alignment horizontal="center" wrapText="1"/>
    </xf>
    <xf numFmtId="0" fontId="50" fillId="35" borderId="22" xfId="333" applyNumberFormat="1" applyFont="1" applyFill="1" applyBorder="1" applyAlignment="1" applyProtection="1">
      <alignment horizontal="center" wrapText="1"/>
    </xf>
    <xf numFmtId="0" fontId="46" fillId="2" borderId="6" xfId="333" applyFont="1" applyFill="1" applyBorder="1" applyAlignment="1" applyProtection="1">
      <alignment horizontal="center" vertical="center" wrapText="1"/>
      <protection locked="0"/>
    </xf>
    <xf numFmtId="0" fontId="46" fillId="2" borderId="7" xfId="333" applyFont="1" applyFill="1" applyBorder="1" applyAlignment="1" applyProtection="1">
      <alignment horizontal="center" vertical="center" wrapText="1"/>
      <protection locked="0"/>
    </xf>
    <xf numFmtId="0" fontId="46" fillId="2" borderId="8" xfId="333" applyFont="1" applyFill="1" applyBorder="1" applyAlignment="1" applyProtection="1">
      <alignment horizontal="center" vertical="center" wrapText="1"/>
      <protection locked="0"/>
    </xf>
    <xf numFmtId="0" fontId="46" fillId="2" borderId="12" xfId="333" applyFont="1" applyFill="1" applyBorder="1" applyAlignment="1" applyProtection="1">
      <alignment horizontal="center" vertical="center" wrapText="1"/>
      <protection locked="0"/>
    </xf>
    <xf numFmtId="0" fontId="46" fillId="2" borderId="10" xfId="333" applyFont="1" applyFill="1" applyBorder="1" applyAlignment="1" applyProtection="1">
      <alignment horizontal="center" vertical="center" wrapText="1"/>
      <protection locked="0"/>
    </xf>
    <xf numFmtId="0" fontId="46" fillId="2" borderId="11" xfId="333" applyFont="1" applyFill="1" applyBorder="1" applyAlignment="1" applyProtection="1">
      <alignment horizontal="center" vertical="center" wrapText="1"/>
      <protection locked="0"/>
    </xf>
    <xf numFmtId="0" fontId="47" fillId="2" borderId="15" xfId="333" applyFont="1" applyFill="1" applyBorder="1" applyAlignment="1" applyProtection="1">
      <alignment horizontal="center"/>
    </xf>
    <xf numFmtId="0" fontId="47" fillId="2" borderId="28" xfId="333" applyFont="1" applyFill="1" applyBorder="1" applyAlignment="1" applyProtection="1">
      <alignment horizontal="center"/>
    </xf>
    <xf numFmtId="0" fontId="48" fillId="35" borderId="14" xfId="333" applyFont="1" applyFill="1" applyBorder="1" applyAlignment="1" applyProtection="1">
      <alignment horizontal="center" vertical="center"/>
    </xf>
    <xf numFmtId="0" fontId="48" fillId="35" borderId="63" xfId="333" applyFont="1" applyFill="1" applyBorder="1" applyAlignment="1" applyProtection="1">
      <alignment horizontal="center" vertical="center"/>
    </xf>
    <xf numFmtId="0" fontId="48" fillId="35" borderId="22" xfId="333" applyFont="1" applyFill="1" applyBorder="1" applyAlignment="1" applyProtection="1">
      <alignment horizontal="center" vertical="center"/>
    </xf>
    <xf numFmtId="0" fontId="48" fillId="35" borderId="56" xfId="333" applyFont="1" applyFill="1" applyBorder="1" applyAlignment="1" applyProtection="1">
      <alignment horizontal="center" vertical="center"/>
    </xf>
    <xf numFmtId="0" fontId="48" fillId="35" borderId="75" xfId="333" applyFont="1" applyFill="1" applyBorder="1" applyAlignment="1" applyProtection="1">
      <alignment horizontal="center" vertical="center" textRotation="90" wrapText="1"/>
    </xf>
    <xf numFmtId="0" fontId="48" fillId="35" borderId="62" xfId="333" applyFont="1" applyFill="1" applyBorder="1" applyAlignment="1" applyProtection="1">
      <alignment horizontal="center" vertical="center" textRotation="90" wrapText="1"/>
    </xf>
    <xf numFmtId="0" fontId="48" fillId="35" borderId="48" xfId="333" applyFont="1" applyFill="1" applyBorder="1" applyAlignment="1" applyProtection="1">
      <alignment horizontal="center" vertical="center" textRotation="90" wrapText="1"/>
    </xf>
    <xf numFmtId="0" fontId="48" fillId="35" borderId="57" xfId="333" applyFont="1" applyFill="1" applyBorder="1" applyAlignment="1" applyProtection="1">
      <alignment horizontal="left" vertical="center"/>
    </xf>
    <xf numFmtId="0" fontId="48" fillId="35" borderId="43" xfId="333" applyFont="1" applyFill="1" applyBorder="1" applyAlignment="1" applyProtection="1">
      <alignment horizontal="left" vertical="center"/>
    </xf>
    <xf numFmtId="0" fontId="48" fillId="35" borderId="34" xfId="333" applyFont="1" applyFill="1" applyBorder="1" applyAlignment="1" applyProtection="1">
      <alignment horizontal="left" vertical="center"/>
    </xf>
    <xf numFmtId="0" fontId="50" fillId="2" borderId="13" xfId="333" applyFont="1" applyFill="1" applyBorder="1" applyAlignment="1" applyProtection="1">
      <alignment horizontal="center"/>
    </xf>
    <xf numFmtId="0" fontId="55" fillId="0" borderId="18" xfId="0" applyFont="1" applyBorder="1" applyAlignment="1">
      <alignment horizontal="center"/>
    </xf>
    <xf numFmtId="0" fontId="50" fillId="35" borderId="6" xfId="333" applyNumberFormat="1" applyFont="1" applyFill="1" applyBorder="1" applyAlignment="1" applyProtection="1">
      <alignment horizontal="center" wrapText="1"/>
    </xf>
    <xf numFmtId="0" fontId="50" fillId="35" borderId="14" xfId="333" applyNumberFormat="1" applyFont="1" applyFill="1" applyBorder="1" applyAlignment="1" applyProtection="1">
      <alignment horizontal="center" wrapText="1"/>
    </xf>
    <xf numFmtId="0" fontId="47" fillId="45" borderId="7" xfId="333" applyFont="1" applyFill="1" applyBorder="1" applyAlignment="1" applyProtection="1">
      <alignment horizontal="center" vertical="center"/>
    </xf>
    <xf numFmtId="0" fontId="47" fillId="45" borderId="10" xfId="333" applyFont="1" applyFill="1" applyBorder="1" applyAlignment="1" applyProtection="1">
      <alignment horizontal="center" vertical="center"/>
    </xf>
    <xf numFmtId="0" fontId="47" fillId="45" borderId="8" xfId="333" applyFont="1" applyFill="1" applyBorder="1" applyAlignment="1" applyProtection="1">
      <alignment horizontal="center" vertical="center"/>
    </xf>
    <xf numFmtId="0" fontId="47" fillId="45" borderId="11" xfId="333" applyFont="1" applyFill="1" applyBorder="1" applyAlignment="1" applyProtection="1">
      <alignment horizontal="center" vertical="center"/>
    </xf>
    <xf numFmtId="0" fontId="47" fillId="45" borderId="6" xfId="333" applyFont="1" applyFill="1" applyBorder="1" applyAlignment="1" applyProtection="1">
      <alignment horizontal="center" vertical="center"/>
    </xf>
    <xf numFmtId="0" fontId="47" fillId="45" borderId="12" xfId="333" applyFont="1" applyFill="1" applyBorder="1" applyAlignment="1" applyProtection="1">
      <alignment horizontal="center" vertical="center"/>
    </xf>
    <xf numFmtId="0" fontId="62" fillId="0" borderId="6" xfId="333" applyFont="1" applyBorder="1" applyAlignment="1" applyProtection="1">
      <alignment horizontal="left" wrapText="1"/>
    </xf>
    <xf numFmtId="0" fontId="62" fillId="0" borderId="7" xfId="333" applyFont="1" applyBorder="1" applyAlignment="1" applyProtection="1">
      <alignment horizontal="left" wrapText="1"/>
    </xf>
    <xf numFmtId="0" fontId="62" fillId="0" borderId="8" xfId="333" applyFont="1" applyBorder="1" applyAlignment="1" applyProtection="1">
      <alignment horizontal="left" wrapText="1"/>
    </xf>
    <xf numFmtId="0" fontId="62" fillId="0" borderId="160" xfId="333" applyFont="1" applyBorder="1" applyAlignment="1" applyProtection="1">
      <alignment horizontal="left" wrapText="1"/>
    </xf>
    <xf numFmtId="0" fontId="62" fillId="0" borderId="158" xfId="333" applyFont="1" applyBorder="1" applyAlignment="1" applyProtection="1">
      <alignment horizontal="left" wrapText="1"/>
    </xf>
    <xf numFmtId="0" fontId="62" fillId="0" borderId="159" xfId="333" applyFont="1" applyBorder="1" applyAlignment="1" applyProtection="1">
      <alignment horizontal="left" wrapText="1"/>
    </xf>
    <xf numFmtId="0" fontId="46" fillId="2" borderId="6" xfId="333" applyFont="1" applyFill="1" applyBorder="1" applyAlignment="1" applyProtection="1">
      <alignment horizontal="left" vertical="center"/>
    </xf>
    <xf numFmtId="0" fontId="46" fillId="2" borderId="7" xfId="333" applyFont="1" applyFill="1" applyBorder="1" applyAlignment="1" applyProtection="1">
      <alignment horizontal="left" vertical="center"/>
    </xf>
    <xf numFmtId="0" fontId="46" fillId="2" borderId="8" xfId="333" applyFont="1" applyFill="1" applyBorder="1" applyAlignment="1" applyProtection="1">
      <alignment horizontal="left" vertical="center"/>
    </xf>
    <xf numFmtId="0" fontId="46" fillId="2" borderId="160" xfId="333" applyFont="1" applyFill="1" applyBorder="1" applyAlignment="1" applyProtection="1">
      <alignment horizontal="left" vertical="center"/>
    </xf>
    <xf numFmtId="0" fontId="46" fillId="2" borderId="158" xfId="333" applyFont="1" applyFill="1" applyBorder="1" applyAlignment="1" applyProtection="1">
      <alignment horizontal="left" vertical="center"/>
    </xf>
    <xf numFmtId="0" fontId="46" fillId="2" borderId="159" xfId="333" applyFont="1" applyFill="1" applyBorder="1" applyAlignment="1" applyProtection="1">
      <alignment horizontal="left" vertical="center"/>
    </xf>
    <xf numFmtId="0" fontId="47" fillId="2" borderId="15" xfId="333" applyFont="1" applyFill="1" applyBorder="1" applyAlignment="1" applyProtection="1">
      <alignment horizontal="center" vertical="center"/>
    </xf>
    <xf numFmtId="0" fontId="47" fillId="2" borderId="28" xfId="333" applyFont="1" applyFill="1" applyBorder="1" applyAlignment="1" applyProtection="1">
      <alignment horizontal="center" vertical="center"/>
    </xf>
    <xf numFmtId="0" fontId="47" fillId="2" borderId="16" xfId="333" applyFont="1" applyFill="1" applyBorder="1" applyAlignment="1" applyProtection="1">
      <alignment horizontal="center" vertical="center"/>
    </xf>
    <xf numFmtId="0" fontId="48" fillId="35" borderId="1" xfId="333" applyFont="1" applyFill="1" applyBorder="1" applyAlignment="1" applyProtection="1">
      <alignment horizontal="center" vertical="center"/>
    </xf>
    <xf numFmtId="0" fontId="48" fillId="35" borderId="5" xfId="333" applyFont="1" applyFill="1" applyBorder="1" applyAlignment="1" applyProtection="1">
      <alignment horizontal="center" vertical="center"/>
    </xf>
    <xf numFmtId="0" fontId="48" fillId="35" borderId="160" xfId="333" applyFont="1" applyFill="1" applyBorder="1" applyAlignment="1" applyProtection="1">
      <alignment horizontal="center" vertical="center"/>
    </xf>
    <xf numFmtId="0" fontId="48" fillId="35" borderId="175" xfId="333" applyFont="1" applyFill="1" applyBorder="1" applyAlignment="1" applyProtection="1">
      <alignment horizontal="center" vertical="center"/>
    </xf>
    <xf numFmtId="0" fontId="48" fillId="35" borderId="179" xfId="333" applyNumberFormat="1" applyFont="1" applyFill="1" applyBorder="1" applyAlignment="1" applyProtection="1">
      <alignment horizontal="center" vertical="center" textRotation="90"/>
    </xf>
    <xf numFmtId="0" fontId="48" fillId="35" borderId="62" xfId="333" applyNumberFormat="1" applyFont="1" applyFill="1" applyBorder="1" applyAlignment="1" applyProtection="1">
      <alignment horizontal="center" vertical="center" textRotation="90"/>
    </xf>
    <xf numFmtId="0" fontId="50" fillId="35" borderId="46" xfId="333" applyNumberFormat="1" applyFont="1" applyFill="1" applyBorder="1" applyAlignment="1" applyProtection="1">
      <alignment horizontal="center" vertical="center" wrapText="1"/>
    </xf>
    <xf numFmtId="0" fontId="50" fillId="35" borderId="176" xfId="333" applyNumberFormat="1" applyFont="1" applyFill="1" applyBorder="1" applyAlignment="1" applyProtection="1">
      <alignment horizontal="center" vertical="center" wrapText="1"/>
    </xf>
    <xf numFmtId="16" fontId="86" fillId="35" borderId="176" xfId="333" applyNumberFormat="1" applyFont="1" applyFill="1" applyBorder="1" applyAlignment="1" applyProtection="1">
      <alignment horizontal="center" vertical="center" wrapText="1"/>
    </xf>
    <xf numFmtId="16" fontId="86" fillId="35" borderId="176" xfId="333" quotePrefix="1" applyNumberFormat="1" applyFont="1" applyFill="1" applyBorder="1" applyAlignment="1" applyProtection="1">
      <alignment horizontal="center" vertical="center" wrapText="1"/>
    </xf>
    <xf numFmtId="16" fontId="86" fillId="35" borderId="44" xfId="333" quotePrefix="1" applyNumberFormat="1" applyFont="1" applyFill="1" applyBorder="1" applyAlignment="1" applyProtection="1">
      <alignment horizontal="center" vertical="center" wrapText="1"/>
    </xf>
    <xf numFmtId="0" fontId="50" fillId="35" borderId="177" xfId="333" applyNumberFormat="1" applyFont="1" applyFill="1" applyBorder="1" applyAlignment="1" applyProtection="1">
      <alignment horizontal="center" vertical="center" wrapText="1"/>
    </xf>
    <xf numFmtId="16" fontId="86" fillId="35" borderId="178" xfId="333" quotePrefix="1" applyNumberFormat="1" applyFont="1" applyFill="1" applyBorder="1" applyAlignment="1" applyProtection="1">
      <alignment horizontal="center" vertical="center" wrapText="1"/>
    </xf>
    <xf numFmtId="0" fontId="47" fillId="47" borderId="7" xfId="333" applyFont="1" applyFill="1" applyBorder="1" applyAlignment="1" applyProtection="1">
      <alignment horizontal="center" vertical="center"/>
    </xf>
    <xf numFmtId="0" fontId="47" fillId="47" borderId="158" xfId="333" applyFont="1" applyFill="1" applyBorder="1" applyAlignment="1" applyProtection="1">
      <alignment horizontal="center" vertical="center"/>
    </xf>
    <xf numFmtId="16" fontId="86" fillId="35" borderId="181" xfId="333" applyNumberFormat="1" applyFont="1" applyFill="1" applyBorder="1" applyAlignment="1" applyProtection="1">
      <alignment horizontal="center" vertical="center" wrapText="1"/>
    </xf>
    <xf numFmtId="0" fontId="50" fillId="35" borderId="65" xfId="333" applyNumberFormat="1" applyFont="1" applyFill="1" applyBorder="1" applyAlignment="1" applyProtection="1">
      <alignment horizontal="center" vertical="center" wrapText="1"/>
    </xf>
    <xf numFmtId="0" fontId="47" fillId="47" borderId="8" xfId="333" applyFont="1" applyFill="1" applyBorder="1" applyAlignment="1" applyProtection="1">
      <alignment horizontal="center" vertical="center"/>
    </xf>
    <xf numFmtId="0" fontId="47" fillId="47" borderId="159" xfId="333" applyFont="1" applyFill="1" applyBorder="1" applyAlignment="1" applyProtection="1">
      <alignment horizontal="center" vertical="center"/>
    </xf>
    <xf numFmtId="0" fontId="47" fillId="47" borderId="6" xfId="333" applyFont="1" applyFill="1" applyBorder="1" applyAlignment="1" applyProtection="1">
      <alignment horizontal="center" vertical="center"/>
    </xf>
    <xf numFmtId="0" fontId="47" fillId="47" borderId="160" xfId="333" applyFont="1" applyFill="1" applyBorder="1" applyAlignment="1" applyProtection="1">
      <alignment horizontal="center" vertical="center"/>
    </xf>
    <xf numFmtId="0" fontId="50" fillId="35" borderId="179" xfId="333" applyNumberFormat="1" applyFont="1" applyFill="1" applyBorder="1" applyAlignment="1" applyProtection="1">
      <alignment horizontal="center" vertical="center"/>
    </xf>
    <xf numFmtId="0" fontId="50" fillId="35" borderId="62" xfId="333" applyNumberFormat="1" applyFont="1" applyFill="1" applyBorder="1" applyAlignment="1" applyProtection="1">
      <alignment horizontal="center" vertical="center"/>
    </xf>
    <xf numFmtId="0" fontId="50" fillId="35" borderId="177" xfId="333" applyNumberFormat="1" applyFont="1" applyFill="1" applyBorder="1" applyAlignment="1" applyProtection="1">
      <alignment horizontal="center" vertical="center"/>
    </xf>
    <xf numFmtId="16" fontId="86" fillId="35" borderId="62" xfId="333" applyNumberFormat="1" applyFont="1" applyFill="1" applyBorder="1" applyAlignment="1" applyProtection="1">
      <alignment horizontal="center" vertical="center"/>
    </xf>
    <xf numFmtId="16" fontId="86" fillId="35" borderId="62" xfId="333" quotePrefix="1" applyNumberFormat="1" applyFont="1" applyFill="1" applyBorder="1" applyAlignment="1" applyProtection="1">
      <alignment horizontal="center" vertical="center"/>
    </xf>
    <xf numFmtId="16" fontId="86" fillId="35" borderId="177" xfId="333" quotePrefix="1" applyNumberFormat="1" applyFont="1" applyFill="1" applyBorder="1" applyAlignment="1" applyProtection="1">
      <alignment horizontal="center" vertical="center"/>
    </xf>
    <xf numFmtId="0" fontId="52" fillId="2" borderId="53" xfId="333" applyFont="1" applyFill="1" applyBorder="1" applyAlignment="1" applyProtection="1">
      <alignment horizontal="center" vertical="center" wrapText="1"/>
    </xf>
    <xf numFmtId="0" fontId="52" fillId="2" borderId="161" xfId="333" applyFont="1" applyFill="1" applyBorder="1" applyAlignment="1" applyProtection="1">
      <alignment horizontal="center" vertical="center" wrapText="1"/>
    </xf>
    <xf numFmtId="0" fontId="49" fillId="49" borderId="39" xfId="333" applyFont="1" applyFill="1" applyBorder="1" applyAlignment="1" applyProtection="1">
      <alignment horizontal="center" vertical="center" wrapText="1"/>
    </xf>
    <xf numFmtId="0" fontId="49" fillId="49" borderId="53" xfId="333" applyFont="1" applyFill="1" applyBorder="1" applyAlignment="1" applyProtection="1">
      <alignment horizontal="center" vertical="center" wrapText="1"/>
    </xf>
    <xf numFmtId="0" fontId="49" fillId="49" borderId="161" xfId="333" applyFont="1" applyFill="1" applyBorder="1" applyAlignment="1" applyProtection="1">
      <alignment horizontal="center" vertical="center" wrapText="1"/>
    </xf>
    <xf numFmtId="0" fontId="52" fillId="2" borderId="61" xfId="333" applyFont="1" applyFill="1" applyBorder="1" applyAlignment="1" applyProtection="1">
      <alignment horizontal="center" vertical="center" wrapText="1"/>
    </xf>
    <xf numFmtId="0" fontId="52" fillId="2" borderId="33" xfId="333" applyFont="1" applyFill="1" applyBorder="1" applyAlignment="1" applyProtection="1">
      <alignment horizontal="center" vertical="center" wrapText="1"/>
    </xf>
    <xf numFmtId="0" fontId="52" fillId="2" borderId="39" xfId="333" applyFont="1" applyFill="1" applyBorder="1" applyAlignment="1" applyProtection="1">
      <alignment horizontal="center" vertical="center" wrapText="1"/>
    </xf>
    <xf numFmtId="0" fontId="49" fillId="49" borderId="53" xfId="333" applyFont="1" applyFill="1" applyBorder="1" applyAlignment="1" applyProtection="1">
      <alignment horizontal="center" vertical="center"/>
    </xf>
    <xf numFmtId="0" fontId="49" fillId="49" borderId="161" xfId="333" applyFont="1" applyFill="1" applyBorder="1" applyAlignment="1" applyProtection="1">
      <alignment horizontal="center" vertical="center"/>
    </xf>
    <xf numFmtId="0" fontId="49" fillId="49" borderId="13" xfId="333" applyFont="1" applyFill="1" applyBorder="1" applyAlignment="1" applyProtection="1">
      <alignment horizontal="center" wrapText="1"/>
    </xf>
    <xf numFmtId="0" fontId="49" fillId="49" borderId="17" xfId="333" applyFont="1" applyFill="1" applyBorder="1" applyAlignment="1" applyProtection="1">
      <alignment horizontal="center" wrapText="1"/>
    </xf>
    <xf numFmtId="0" fontId="49" fillId="49" borderId="18" xfId="333" applyFont="1" applyFill="1" applyBorder="1" applyAlignment="1" applyProtection="1">
      <alignment horizontal="center" wrapText="1"/>
    </xf>
    <xf numFmtId="0" fontId="52" fillId="2" borderId="184" xfId="333" applyFont="1" applyFill="1" applyBorder="1" applyAlignment="1" applyProtection="1">
      <alignment horizontal="center" vertical="center" wrapText="1"/>
    </xf>
    <xf numFmtId="0" fontId="52" fillId="2" borderId="55" xfId="333" applyFont="1" applyFill="1" applyBorder="1" applyAlignment="1" applyProtection="1">
      <alignment horizontal="center" vertical="center" wrapText="1"/>
    </xf>
    <xf numFmtId="167" fontId="52" fillId="33" borderId="39" xfId="333" applyNumberFormat="1" applyFont="1" applyFill="1" applyBorder="1" applyAlignment="1" applyProtection="1">
      <alignment horizontal="center" vertical="center" wrapText="1"/>
    </xf>
    <xf numFmtId="167" fontId="52" fillId="33" borderId="53" xfId="333" applyNumberFormat="1" applyFont="1" applyFill="1" applyBorder="1" applyAlignment="1" applyProtection="1">
      <alignment horizontal="center" vertical="center" wrapText="1"/>
    </xf>
    <xf numFmtId="167" fontId="52" fillId="33" borderId="55" xfId="333" applyNumberFormat="1" applyFont="1" applyFill="1" applyBorder="1" applyAlignment="1" applyProtection="1">
      <alignment horizontal="center" vertical="center" wrapText="1"/>
    </xf>
    <xf numFmtId="0" fontId="49" fillId="37" borderId="39" xfId="333" applyFont="1" applyFill="1" applyBorder="1" applyAlignment="1" applyProtection="1">
      <alignment horizontal="center" vertical="center" wrapText="1"/>
    </xf>
    <xf numFmtId="0" fontId="49" fillId="37" borderId="53" xfId="333" applyFont="1" applyFill="1" applyBorder="1" applyAlignment="1" applyProtection="1">
      <alignment horizontal="center" vertical="center" wrapText="1"/>
    </xf>
    <xf numFmtId="0" fontId="49" fillId="37" borderId="161" xfId="333" applyFont="1" applyFill="1" applyBorder="1" applyAlignment="1" applyProtection="1">
      <alignment horizontal="center" vertical="center" wrapText="1"/>
    </xf>
    <xf numFmtId="0" fontId="49" fillId="48" borderId="39" xfId="333" applyFont="1" applyFill="1" applyBorder="1" applyAlignment="1" applyProtection="1">
      <alignment horizontal="center" vertical="center" wrapText="1"/>
    </xf>
    <xf numFmtId="0" fontId="49" fillId="48" borderId="53" xfId="333" applyFont="1" applyFill="1" applyBorder="1" applyAlignment="1" applyProtection="1">
      <alignment horizontal="center" vertical="center" wrapText="1"/>
    </xf>
    <xf numFmtId="0" fontId="49" fillId="48" borderId="161" xfId="333" applyFont="1" applyFill="1" applyBorder="1" applyAlignment="1" applyProtection="1">
      <alignment horizontal="center" vertical="center" wrapText="1"/>
    </xf>
    <xf numFmtId="0" fontId="52" fillId="2" borderId="51" xfId="333" applyFont="1" applyFill="1" applyBorder="1" applyAlignment="1" applyProtection="1">
      <alignment horizontal="center" vertical="center" wrapText="1"/>
    </xf>
    <xf numFmtId="0" fontId="52" fillId="2" borderId="188" xfId="333" applyFont="1" applyFill="1" applyBorder="1" applyAlignment="1" applyProtection="1">
      <alignment horizontal="center" vertical="center" wrapText="1"/>
    </xf>
    <xf numFmtId="0" fontId="52" fillId="2" borderId="183" xfId="333" applyFont="1" applyFill="1" applyBorder="1" applyAlignment="1" applyProtection="1">
      <alignment horizontal="center" vertical="center" wrapText="1"/>
    </xf>
    <xf numFmtId="0" fontId="52" fillId="2" borderId="180" xfId="333" applyFont="1" applyFill="1" applyBorder="1" applyAlignment="1" applyProtection="1">
      <alignment horizontal="center" vertical="center" wrapText="1"/>
    </xf>
    <xf numFmtId="3" fontId="52" fillId="33" borderId="62" xfId="333" applyNumberFormat="1" applyFont="1" applyFill="1" applyBorder="1" applyAlignment="1" applyProtection="1">
      <alignment horizontal="center" vertical="center" wrapText="1"/>
    </xf>
    <xf numFmtId="3" fontId="52" fillId="33" borderId="182" xfId="333" applyNumberFormat="1" applyFont="1" applyFill="1" applyBorder="1" applyAlignment="1" applyProtection="1">
      <alignment horizontal="center" vertical="center" wrapText="1"/>
    </xf>
    <xf numFmtId="3" fontId="52" fillId="33" borderId="34" xfId="333" applyNumberFormat="1" applyFont="1" applyFill="1" applyBorder="1" applyAlignment="1" applyProtection="1">
      <alignment horizontal="center" vertical="center" wrapText="1"/>
    </xf>
    <xf numFmtId="3" fontId="52" fillId="33" borderId="189" xfId="333" applyNumberFormat="1" applyFont="1" applyFill="1" applyBorder="1" applyAlignment="1" applyProtection="1">
      <alignment horizontal="center" vertical="center" wrapText="1"/>
    </xf>
    <xf numFmtId="3" fontId="52" fillId="32" borderId="5" xfId="333" applyNumberFormat="1" applyFont="1" applyFill="1" applyBorder="1" applyAlignment="1" applyProtection="1">
      <alignment horizontal="center" vertical="center" wrapText="1"/>
      <protection locked="0"/>
    </xf>
    <xf numFmtId="3" fontId="52" fillId="32" borderId="175" xfId="333" applyNumberFormat="1" applyFont="1" applyFill="1" applyBorder="1" applyAlignment="1" applyProtection="1">
      <alignment horizontal="center" vertical="center" wrapText="1"/>
      <protection locked="0"/>
    </xf>
    <xf numFmtId="3" fontId="52" fillId="32" borderId="34" xfId="333" applyNumberFormat="1" applyFont="1" applyFill="1" applyBorder="1" applyAlignment="1" applyProtection="1">
      <alignment horizontal="center" vertical="center" wrapText="1"/>
      <protection locked="0"/>
    </xf>
    <xf numFmtId="3" fontId="52" fillId="32" borderId="189" xfId="333" applyNumberFormat="1" applyFont="1" applyFill="1" applyBorder="1" applyAlignment="1" applyProtection="1">
      <alignment horizontal="center" vertical="center" wrapText="1"/>
      <protection locked="0"/>
    </xf>
    <xf numFmtId="0" fontId="49" fillId="37" borderId="13" xfId="333" applyFont="1" applyFill="1" applyBorder="1" applyAlignment="1" applyProtection="1">
      <alignment horizontal="center" wrapText="1"/>
    </xf>
    <xf numFmtId="0" fontId="49" fillId="37" borderId="17" xfId="333" applyFont="1" applyFill="1" applyBorder="1" applyAlignment="1" applyProtection="1">
      <alignment horizontal="center" wrapText="1"/>
    </xf>
    <xf numFmtId="0" fontId="49" fillId="37" borderId="18" xfId="333" applyFont="1" applyFill="1" applyBorder="1" applyAlignment="1" applyProtection="1">
      <alignment horizontal="center" wrapText="1"/>
    </xf>
    <xf numFmtId="0" fontId="52" fillId="2" borderId="46" xfId="333" applyFont="1" applyFill="1" applyBorder="1" applyAlignment="1" applyProtection="1">
      <alignment horizontal="center" vertical="center" wrapText="1"/>
    </xf>
    <xf numFmtId="1" fontId="49" fillId="4" borderId="15" xfId="333" applyNumberFormat="1" applyFont="1" applyFill="1" applyBorder="1" applyAlignment="1" applyProtection="1">
      <alignment horizontal="center" wrapText="1"/>
    </xf>
    <xf numFmtId="1" fontId="49" fillId="4" borderId="28" xfId="333" applyNumberFormat="1" applyFont="1" applyFill="1" applyBorder="1" applyAlignment="1" applyProtection="1">
      <alignment horizontal="center" wrapText="1"/>
    </xf>
    <xf numFmtId="1" fontId="49" fillId="4" borderId="16" xfId="333" applyNumberFormat="1" applyFont="1" applyFill="1" applyBorder="1" applyAlignment="1" applyProtection="1">
      <alignment horizontal="center" wrapText="1"/>
    </xf>
    <xf numFmtId="1" fontId="52" fillId="4" borderId="15" xfId="333" applyNumberFormat="1" applyFont="1" applyFill="1" applyBorder="1" applyAlignment="1" applyProtection="1">
      <alignment horizontal="center" wrapText="1"/>
    </xf>
    <xf numFmtId="1" fontId="52" fillId="4" borderId="28" xfId="333" applyNumberFormat="1" applyFont="1" applyFill="1" applyBorder="1" applyAlignment="1" applyProtection="1">
      <alignment horizontal="center" wrapText="1"/>
    </xf>
    <xf numFmtId="1" fontId="52" fillId="4" borderId="16" xfId="333" applyNumberFormat="1" applyFont="1" applyFill="1" applyBorder="1" applyAlignment="1" applyProtection="1">
      <alignment horizontal="center" wrapText="1"/>
    </xf>
    <xf numFmtId="0" fontId="49" fillId="48" borderId="13" xfId="333" applyFont="1" applyFill="1" applyBorder="1" applyAlignment="1" applyProtection="1">
      <alignment horizontal="center" wrapText="1"/>
    </xf>
    <xf numFmtId="0" fontId="49" fillId="48" borderId="17" xfId="333" applyFont="1" applyFill="1" applyBorder="1" applyAlignment="1" applyProtection="1">
      <alignment horizontal="center" wrapText="1"/>
    </xf>
    <xf numFmtId="0" fontId="49" fillId="48" borderId="18" xfId="333" applyFont="1" applyFill="1" applyBorder="1" applyAlignment="1" applyProtection="1">
      <alignment horizontal="center" wrapText="1"/>
    </xf>
    <xf numFmtId="167" fontId="52" fillId="33" borderId="184" xfId="333" applyNumberFormat="1" applyFont="1" applyFill="1" applyBorder="1" applyAlignment="1" applyProtection="1">
      <alignment horizontal="center" vertical="center" wrapText="1"/>
    </xf>
    <xf numFmtId="167" fontId="52" fillId="33" borderId="161" xfId="333" applyNumberFormat="1" applyFont="1" applyFill="1" applyBorder="1" applyAlignment="1" applyProtection="1">
      <alignment horizontal="center" vertical="center" wrapText="1"/>
    </xf>
    <xf numFmtId="167" fontId="52" fillId="33" borderId="51" xfId="333" applyNumberFormat="1" applyFont="1" applyFill="1" applyBorder="1" applyAlignment="1" applyProtection="1">
      <alignment horizontal="center" vertical="center" wrapText="1"/>
    </xf>
    <xf numFmtId="0" fontId="52" fillId="2" borderId="13" xfId="333" applyFont="1" applyFill="1" applyBorder="1" applyAlignment="1" applyProtection="1">
      <alignment horizontal="center" vertical="center" wrapText="1"/>
    </xf>
    <xf numFmtId="0" fontId="52" fillId="2" borderId="17" xfId="333" applyFont="1" applyFill="1" applyBorder="1" applyAlignment="1" applyProtection="1">
      <alignment horizontal="center" vertical="center" wrapText="1"/>
    </xf>
    <xf numFmtId="0" fontId="52" fillId="2" borderId="18" xfId="333" applyFont="1" applyFill="1" applyBorder="1" applyAlignment="1" applyProtection="1">
      <alignment horizontal="center" vertical="center" wrapText="1"/>
    </xf>
    <xf numFmtId="0" fontId="49" fillId="2" borderId="19" xfId="333" applyFont="1" applyFill="1" applyBorder="1" applyAlignment="1" applyProtection="1">
      <alignment horizontal="center" vertical="center" wrapText="1"/>
    </xf>
    <xf numFmtId="0" fontId="49" fillId="2" borderId="235" xfId="333" applyFont="1" applyFill="1" applyBorder="1" applyAlignment="1" applyProtection="1">
      <alignment horizontal="center" vertical="center" wrapText="1"/>
    </xf>
    <xf numFmtId="0" fontId="49" fillId="2" borderId="234" xfId="333" applyFont="1" applyFill="1" applyBorder="1" applyAlignment="1" applyProtection="1">
      <alignment horizontal="center" vertical="center" wrapText="1"/>
    </xf>
    <xf numFmtId="167" fontId="52" fillId="33" borderId="60" xfId="333" applyNumberFormat="1" applyFont="1" applyFill="1" applyBorder="1" applyAlignment="1" applyProtection="1">
      <alignment horizontal="left" vertical="center" wrapText="1"/>
    </xf>
    <xf numFmtId="0" fontId="50" fillId="35" borderId="6" xfId="333" applyNumberFormat="1" applyFont="1" applyFill="1" applyBorder="1" applyAlignment="1" applyProtection="1">
      <alignment horizontal="center" vertical="center" textRotation="90" wrapText="1"/>
    </xf>
    <xf numFmtId="0" fontId="50" fillId="35" borderId="1" xfId="333" applyNumberFormat="1" applyFont="1" applyFill="1" applyBorder="1" applyAlignment="1" applyProtection="1">
      <alignment horizontal="center" vertical="center" textRotation="90"/>
    </xf>
    <xf numFmtId="0" fontId="50" fillId="35" borderId="14" xfId="333" applyNumberFormat="1" applyFont="1" applyFill="1" applyBorder="1" applyAlignment="1" applyProtection="1">
      <alignment horizontal="center" vertical="center" textRotation="90" wrapText="1"/>
    </xf>
    <xf numFmtId="0" fontId="50" fillId="35" borderId="14" xfId="333" applyNumberFormat="1" applyFont="1" applyFill="1" applyBorder="1" applyAlignment="1" applyProtection="1">
      <alignment horizontal="center" vertical="center" textRotation="90"/>
    </xf>
    <xf numFmtId="0" fontId="50" fillId="35" borderId="188" xfId="333" applyNumberFormat="1" applyFont="1" applyFill="1" applyBorder="1" applyAlignment="1" applyProtection="1">
      <alignment horizontal="center" vertical="center" textRotation="90"/>
    </xf>
    <xf numFmtId="16" fontId="50" fillId="35" borderId="1" xfId="333" quotePrefix="1" applyNumberFormat="1" applyFont="1" applyFill="1" applyBorder="1" applyAlignment="1" applyProtection="1">
      <alignment horizontal="center"/>
    </xf>
    <xf numFmtId="16" fontId="50" fillId="35" borderId="160" xfId="333" quotePrefix="1" applyNumberFormat="1" applyFont="1" applyFill="1" applyBorder="1" applyAlignment="1" applyProtection="1">
      <alignment horizontal="center"/>
    </xf>
    <xf numFmtId="167" fontId="52" fillId="33" borderId="47" xfId="333" applyNumberFormat="1" applyFont="1" applyFill="1" applyBorder="1" applyAlignment="1" applyProtection="1">
      <alignment horizontal="left" vertical="center" wrapText="1"/>
    </xf>
    <xf numFmtId="0" fontId="47" fillId="42" borderId="158" xfId="333" applyFont="1" applyFill="1" applyBorder="1" applyAlignment="1" applyProtection="1">
      <alignment horizontal="center" vertical="center"/>
    </xf>
    <xf numFmtId="0" fontId="47" fillId="42" borderId="160" xfId="333" applyFont="1" applyFill="1" applyBorder="1" applyAlignment="1" applyProtection="1">
      <alignment horizontal="center" vertical="center"/>
    </xf>
    <xf numFmtId="0" fontId="47" fillId="42" borderId="159" xfId="333" applyFont="1" applyFill="1" applyBorder="1" applyAlignment="1" applyProtection="1">
      <alignment horizontal="center" vertical="center"/>
    </xf>
    <xf numFmtId="0" fontId="46" fillId="2" borderId="142" xfId="0" applyFont="1" applyFill="1" applyBorder="1" applyAlignment="1" applyProtection="1">
      <alignment horizontal="left" vertical="center"/>
    </xf>
    <xf numFmtId="0" fontId="46" fillId="2" borderId="143" xfId="0" applyFont="1" applyFill="1" applyBorder="1" applyAlignment="1" applyProtection="1">
      <alignment horizontal="left" vertical="center"/>
    </xf>
    <xf numFmtId="0" fontId="55" fillId="0" borderId="143" xfId="0" applyFont="1" applyBorder="1" applyAlignment="1" applyProtection="1"/>
    <xf numFmtId="0" fontId="55" fillId="0" borderId="144" xfId="0" applyFont="1" applyBorder="1" applyAlignment="1" applyProtection="1"/>
    <xf numFmtId="0" fontId="46" fillId="2" borderId="172" xfId="0" applyFont="1" applyFill="1" applyBorder="1" applyAlignment="1" applyProtection="1">
      <alignment horizontal="left" vertical="center"/>
    </xf>
    <xf numFmtId="0" fontId="46" fillId="2" borderId="0" xfId="0" applyFont="1" applyFill="1" applyBorder="1" applyAlignment="1" applyProtection="1">
      <alignment horizontal="left" vertical="center"/>
    </xf>
    <xf numFmtId="0" fontId="55" fillId="0" borderId="0" xfId="0" applyFont="1" applyBorder="1" applyAlignment="1" applyProtection="1"/>
    <xf numFmtId="0" fontId="55" fillId="0" borderId="173" xfId="0" applyFont="1" applyBorder="1" applyAlignment="1" applyProtection="1"/>
    <xf numFmtId="0" fontId="53" fillId="0" borderId="148" xfId="0" applyFont="1" applyBorder="1" applyAlignment="1" applyProtection="1">
      <alignment vertical="top" wrapText="1"/>
    </xf>
    <xf numFmtId="0" fontId="55" fillId="0" borderId="149" xfId="0" applyFont="1" applyBorder="1" applyAlignment="1">
      <alignment vertical="top" wrapText="1"/>
    </xf>
    <xf numFmtId="0" fontId="55" fillId="0" borderId="150" xfId="0" applyFont="1" applyBorder="1" applyAlignment="1">
      <alignment vertical="top" wrapText="1"/>
    </xf>
    <xf numFmtId="0" fontId="62" fillId="0" borderId="151" xfId="0" applyFont="1" applyBorder="1" applyAlignment="1" applyProtection="1">
      <alignment vertical="top" wrapText="1"/>
    </xf>
    <xf numFmtId="0" fontId="55" fillId="0" borderId="152" xfId="0" applyFont="1" applyBorder="1" applyAlignment="1">
      <alignment vertical="top" wrapText="1"/>
    </xf>
    <xf numFmtId="0" fontId="55" fillId="0" borderId="153" xfId="0" applyFont="1" applyBorder="1" applyAlignment="1">
      <alignment vertical="top" wrapText="1"/>
    </xf>
    <xf numFmtId="0" fontId="53" fillId="0" borderId="252" xfId="0" applyFont="1" applyBorder="1" applyAlignment="1" applyProtection="1">
      <alignment vertical="top" wrapText="1"/>
    </xf>
    <xf numFmtId="0" fontId="55" fillId="0" borderId="253" xfId="0" applyFont="1" applyBorder="1" applyAlignment="1">
      <alignment vertical="top" wrapText="1"/>
    </xf>
    <xf numFmtId="0" fontId="55" fillId="0" borderId="254" xfId="0" applyFont="1" applyBorder="1" applyAlignment="1">
      <alignment vertical="top" wrapText="1"/>
    </xf>
    <xf numFmtId="0" fontId="47" fillId="7" borderId="80" xfId="0" applyFont="1" applyFill="1" applyBorder="1" applyAlignment="1" applyProtection="1">
      <alignment horizontal="center" vertical="center"/>
    </xf>
    <xf numFmtId="0" fontId="47" fillId="7" borderId="84" xfId="0" applyFont="1" applyFill="1" applyBorder="1" applyAlignment="1" applyProtection="1">
      <alignment horizontal="center" vertical="center"/>
    </xf>
    <xf numFmtId="0" fontId="47" fillId="7" borderId="81" xfId="0" applyFont="1" applyFill="1" applyBorder="1" applyAlignment="1" applyProtection="1">
      <alignment horizontal="center" vertical="center"/>
    </xf>
    <xf numFmtId="0" fontId="47" fillId="7" borderId="85" xfId="0" applyFont="1" applyFill="1" applyBorder="1" applyAlignment="1" applyProtection="1">
      <alignment horizontal="center" vertical="center"/>
    </xf>
    <xf numFmtId="0" fontId="47" fillId="7" borderId="98" xfId="0" applyFont="1" applyFill="1" applyBorder="1" applyAlignment="1" applyProtection="1">
      <alignment horizontal="center" vertical="center"/>
    </xf>
    <xf numFmtId="0" fontId="47" fillId="7" borderId="83" xfId="0" applyFont="1" applyFill="1" applyBorder="1" applyAlignment="1" applyProtection="1">
      <alignment horizontal="center" vertical="center"/>
    </xf>
    <xf numFmtId="0" fontId="47" fillId="40" borderId="80" xfId="0" applyFont="1" applyFill="1" applyBorder="1" applyAlignment="1" applyProtection="1">
      <alignment horizontal="center" vertical="center"/>
    </xf>
    <xf numFmtId="0" fontId="47" fillId="40" borderId="84" xfId="0" applyFont="1" applyFill="1" applyBorder="1" applyAlignment="1" applyProtection="1">
      <alignment horizontal="center" vertical="center"/>
    </xf>
    <xf numFmtId="0" fontId="47" fillId="42" borderId="80" xfId="0" applyFont="1" applyFill="1" applyBorder="1" applyAlignment="1" applyProtection="1">
      <alignment horizontal="center" vertical="center"/>
    </xf>
    <xf numFmtId="0" fontId="47" fillId="42" borderId="84" xfId="0" applyFont="1" applyFill="1" applyBorder="1" applyAlignment="1" applyProtection="1">
      <alignment horizontal="center" vertical="center"/>
    </xf>
    <xf numFmtId="0" fontId="47" fillId="42" borderId="81" xfId="0" applyFont="1" applyFill="1" applyBorder="1" applyAlignment="1" applyProtection="1">
      <alignment horizontal="center" vertical="center"/>
    </xf>
    <xf numFmtId="0" fontId="47" fillId="42" borderId="85" xfId="0" applyFont="1" applyFill="1" applyBorder="1" applyAlignment="1" applyProtection="1">
      <alignment horizontal="center" vertical="center"/>
    </xf>
    <xf numFmtId="0" fontId="49" fillId="42" borderId="80" xfId="0" applyFont="1" applyFill="1" applyBorder="1" applyAlignment="1" applyProtection="1">
      <alignment horizontal="center" vertical="center"/>
    </xf>
    <xf numFmtId="0" fontId="49" fillId="42" borderId="84" xfId="0" applyFont="1" applyFill="1" applyBorder="1" applyAlignment="1" applyProtection="1">
      <alignment horizontal="center" vertical="center"/>
    </xf>
    <xf numFmtId="0" fontId="47" fillId="40" borderId="98" xfId="0" applyFont="1" applyFill="1" applyBorder="1" applyAlignment="1" applyProtection="1">
      <alignment horizontal="center" vertical="center"/>
    </xf>
    <xf numFmtId="0" fontId="47" fillId="40" borderId="83" xfId="0" applyFont="1" applyFill="1" applyBorder="1" applyAlignment="1" applyProtection="1">
      <alignment horizontal="center" vertical="center"/>
    </xf>
    <xf numFmtId="0" fontId="10" fillId="0" borderId="0" xfId="0" applyFont="1" applyFill="1" applyBorder="1" applyAlignment="1" applyProtection="1">
      <alignment horizontal="center" vertical="center"/>
      <protection locked="0"/>
    </xf>
    <xf numFmtId="0" fontId="47" fillId="40" borderId="81" xfId="0" applyFont="1" applyFill="1" applyBorder="1" applyAlignment="1" applyProtection="1">
      <alignment horizontal="center" vertical="center"/>
    </xf>
    <xf numFmtId="0" fontId="47" fillId="40" borderId="85" xfId="0" applyFont="1" applyFill="1" applyBorder="1" applyAlignment="1" applyProtection="1">
      <alignment horizontal="center" vertical="center"/>
    </xf>
    <xf numFmtId="0" fontId="53" fillId="0" borderId="154" xfId="0" applyFont="1" applyBorder="1" applyAlignment="1" applyProtection="1">
      <alignment vertical="top" wrapText="1"/>
    </xf>
    <xf numFmtId="0" fontId="55" fillId="0" borderId="155" xfId="0" applyFont="1" applyBorder="1" applyAlignment="1">
      <alignment vertical="top" wrapText="1"/>
    </xf>
    <xf numFmtId="0" fontId="55" fillId="0" borderId="156" xfId="0" applyFont="1" applyBorder="1" applyAlignment="1">
      <alignment vertical="top" wrapText="1"/>
    </xf>
    <xf numFmtId="0" fontId="55" fillId="0" borderId="143" xfId="0" applyFont="1" applyBorder="1" applyAlignment="1"/>
    <xf numFmtId="0" fontId="55" fillId="0" borderId="144" xfId="0" applyFont="1" applyBorder="1" applyAlignment="1"/>
    <xf numFmtId="0" fontId="46" fillId="2" borderId="145" xfId="0" applyFont="1" applyFill="1" applyBorder="1" applyAlignment="1" applyProtection="1">
      <alignment horizontal="left" vertical="center"/>
    </xf>
    <xf numFmtId="0" fontId="46" fillId="2" borderId="146" xfId="0" applyFont="1" applyFill="1" applyBorder="1" applyAlignment="1" applyProtection="1">
      <alignment horizontal="left" vertical="center"/>
    </xf>
    <xf numFmtId="0" fontId="55" fillId="0" borderId="146" xfId="0" applyFont="1" applyBorder="1" applyAlignment="1"/>
    <xf numFmtId="0" fontId="55" fillId="0" borderId="147" xfId="0" applyFont="1" applyBorder="1" applyAlignment="1"/>
    <xf numFmtId="0" fontId="47" fillId="42" borderId="0" xfId="333" applyFont="1" applyFill="1" applyBorder="1" applyAlignment="1" applyProtection="1">
      <alignment horizontal="center" vertical="center"/>
    </xf>
    <xf numFmtId="0" fontId="47" fillId="42" borderId="9" xfId="333" applyFont="1" applyFill="1" applyBorder="1" applyAlignment="1" applyProtection="1">
      <alignment horizontal="center" vertical="center"/>
    </xf>
    <xf numFmtId="0" fontId="47" fillId="42" borderId="1" xfId="333" applyFont="1" applyFill="1" applyBorder="1" applyAlignment="1" applyProtection="1">
      <alignment horizontal="center" vertical="center"/>
    </xf>
    <xf numFmtId="0" fontId="47" fillId="40" borderId="10" xfId="0" applyFont="1" applyFill="1" applyBorder="1" applyAlignment="1" applyProtection="1">
      <alignment horizontal="center" vertical="center"/>
    </xf>
    <xf numFmtId="0" fontId="47" fillId="40" borderId="12" xfId="0" applyFont="1" applyFill="1" applyBorder="1" applyAlignment="1" applyProtection="1">
      <alignment horizontal="center" vertical="center"/>
    </xf>
    <xf numFmtId="0" fontId="47" fillId="40" borderId="11" xfId="0" applyFont="1" applyFill="1" applyBorder="1" applyAlignment="1" applyProtection="1">
      <alignment horizontal="center" vertical="center"/>
    </xf>
    <xf numFmtId="0" fontId="47" fillId="2" borderId="6" xfId="333" applyFont="1" applyFill="1" applyBorder="1" applyAlignment="1" applyProtection="1">
      <alignment horizontal="left" vertical="center"/>
    </xf>
    <xf numFmtId="0" fontId="47" fillId="2" borderId="7" xfId="333" applyFont="1" applyFill="1" applyBorder="1" applyAlignment="1" applyProtection="1">
      <alignment horizontal="left" vertical="center"/>
    </xf>
    <xf numFmtId="0" fontId="47" fillId="2" borderId="160" xfId="333" applyFont="1" applyFill="1" applyBorder="1" applyAlignment="1" applyProtection="1">
      <alignment horizontal="left" vertical="center"/>
    </xf>
    <xf numFmtId="0" fontId="47" fillId="2" borderId="158" xfId="333" applyFont="1" applyFill="1" applyBorder="1" applyAlignment="1" applyProtection="1">
      <alignment horizontal="left" vertical="center"/>
    </xf>
    <xf numFmtId="0" fontId="67" fillId="0" borderId="6" xfId="333" applyFont="1" applyBorder="1" applyAlignment="1" applyProtection="1">
      <alignment horizontal="left" wrapText="1"/>
    </xf>
    <xf numFmtId="0" fontId="67" fillId="0" borderId="7" xfId="333" applyFont="1" applyBorder="1" applyAlignment="1" applyProtection="1">
      <alignment horizontal="left" wrapText="1"/>
    </xf>
    <xf numFmtId="0" fontId="67" fillId="0" borderId="8" xfId="333" applyFont="1" applyBorder="1" applyAlignment="1" applyProtection="1">
      <alignment horizontal="left" wrapText="1"/>
    </xf>
    <xf numFmtId="0" fontId="67" fillId="0" borderId="160" xfId="333" applyFont="1" applyBorder="1" applyAlignment="1" applyProtection="1">
      <alignment horizontal="left" wrapText="1"/>
    </xf>
    <xf numFmtId="0" fontId="67" fillId="0" borderId="158" xfId="333" applyFont="1" applyBorder="1" applyAlignment="1" applyProtection="1">
      <alignment horizontal="left" wrapText="1"/>
    </xf>
    <xf numFmtId="0" fontId="67" fillId="0" borderId="159" xfId="333" applyFont="1" applyBorder="1" applyAlignment="1" applyProtection="1">
      <alignment horizontal="left" wrapText="1"/>
    </xf>
    <xf numFmtId="0" fontId="47" fillId="40" borderId="12" xfId="9" applyFont="1" applyFill="1" applyBorder="1" applyAlignment="1" applyProtection="1">
      <alignment horizontal="left"/>
    </xf>
    <xf numFmtId="0" fontId="47" fillId="40" borderId="10" xfId="9" applyFont="1" applyFill="1" applyBorder="1" applyAlignment="1" applyProtection="1">
      <alignment horizontal="left"/>
    </xf>
    <xf numFmtId="0" fontId="47" fillId="40" borderId="15" xfId="9" applyFont="1" applyFill="1" applyBorder="1" applyAlignment="1" applyProtection="1">
      <alignment horizontal="left"/>
    </xf>
    <xf numFmtId="0" fontId="47" fillId="40" borderId="28" xfId="9" applyFont="1" applyFill="1" applyBorder="1" applyAlignment="1" applyProtection="1">
      <alignment horizontal="left"/>
    </xf>
    <xf numFmtId="0" fontId="54" fillId="40" borderId="6" xfId="0" applyFont="1" applyFill="1" applyBorder="1" applyAlignment="1" applyProtection="1">
      <alignment horizontal="left" vertical="center"/>
    </xf>
    <xf numFmtId="0" fontId="54" fillId="40" borderId="7" xfId="0" applyFont="1" applyFill="1" applyBorder="1" applyAlignment="1" applyProtection="1">
      <alignment horizontal="left" vertical="center"/>
    </xf>
    <xf numFmtId="0" fontId="54" fillId="40" borderId="8" xfId="0" applyFont="1" applyFill="1" applyBorder="1" applyAlignment="1" applyProtection="1">
      <alignment horizontal="left" vertical="center"/>
    </xf>
    <xf numFmtId="0" fontId="54" fillId="40" borderId="1" xfId="0" applyFont="1" applyFill="1" applyBorder="1" applyAlignment="1" applyProtection="1">
      <alignment horizontal="left" vertical="center"/>
    </xf>
    <xf numFmtId="0" fontId="54" fillId="40" borderId="0" xfId="0" applyFont="1" applyFill="1" applyBorder="1" applyAlignment="1" applyProtection="1">
      <alignment horizontal="left" vertical="center"/>
    </xf>
    <xf numFmtId="0" fontId="54" fillId="40" borderId="9" xfId="0" applyFont="1" applyFill="1" applyBorder="1" applyAlignment="1" applyProtection="1">
      <alignment horizontal="left" vertical="center"/>
    </xf>
    <xf numFmtId="0" fontId="54" fillId="40" borderId="160" xfId="0" applyFont="1" applyFill="1" applyBorder="1" applyAlignment="1" applyProtection="1">
      <alignment horizontal="left" vertical="center"/>
    </xf>
    <xf numFmtId="0" fontId="54" fillId="40" borderId="158" xfId="0" applyFont="1" applyFill="1" applyBorder="1" applyAlignment="1" applyProtection="1">
      <alignment horizontal="left" vertical="center"/>
    </xf>
    <xf numFmtId="0" fontId="54" fillId="40" borderId="159" xfId="0" applyFont="1" applyFill="1" applyBorder="1" applyAlignment="1" applyProtection="1">
      <alignment horizontal="left" vertical="center"/>
    </xf>
    <xf numFmtId="0" fontId="93" fillId="36" borderId="0" xfId="0" applyFont="1" applyFill="1" applyBorder="1" applyAlignment="1">
      <alignment horizontal="left" vertical="center" wrapText="1"/>
    </xf>
    <xf numFmtId="0" fontId="93" fillId="36" borderId="0" xfId="0" applyFont="1" applyFill="1" applyBorder="1" applyAlignment="1">
      <alignment horizontal="left" vertical="center"/>
    </xf>
    <xf numFmtId="0" fontId="93" fillId="36" borderId="7" xfId="0" applyFont="1" applyFill="1" applyBorder="1" applyAlignment="1">
      <alignment horizontal="left" vertical="center"/>
    </xf>
    <xf numFmtId="0" fontId="93" fillId="36" borderId="165" xfId="0" applyFont="1" applyFill="1" applyBorder="1" applyAlignment="1">
      <alignment horizontal="left" vertical="center"/>
    </xf>
    <xf numFmtId="0" fontId="46" fillId="40" borderId="39" xfId="0" applyFont="1" applyFill="1" applyBorder="1" applyAlignment="1" applyProtection="1">
      <alignment horizontal="center" vertical="center"/>
    </xf>
    <xf numFmtId="0" fontId="46" fillId="40" borderId="53" xfId="0" applyFont="1" applyFill="1" applyBorder="1" applyAlignment="1" applyProtection="1">
      <alignment horizontal="center" vertical="center"/>
    </xf>
    <xf numFmtId="0" fontId="46" fillId="40" borderId="51" xfId="0" applyFont="1" applyFill="1" applyBorder="1" applyAlignment="1" applyProtection="1">
      <alignment horizontal="center" vertical="center"/>
    </xf>
    <xf numFmtId="0" fontId="55" fillId="36" borderId="163" xfId="0" applyFont="1" applyFill="1" applyBorder="1" applyAlignment="1">
      <alignment horizontal="left" vertical="center"/>
    </xf>
    <xf numFmtId="0" fontId="55" fillId="36" borderId="0" xfId="0" applyFont="1" applyFill="1" applyBorder="1" applyAlignment="1">
      <alignment horizontal="left" vertical="center"/>
    </xf>
    <xf numFmtId="0" fontId="55" fillId="36" borderId="163" xfId="0" applyFont="1" applyFill="1" applyBorder="1" applyAlignment="1">
      <alignment horizontal="left" vertical="center" wrapText="1"/>
    </xf>
    <xf numFmtId="0" fontId="55" fillId="36" borderId="158" xfId="0" applyFont="1" applyFill="1" applyBorder="1" applyAlignment="1">
      <alignment horizontal="left" vertical="center"/>
    </xf>
    <xf numFmtId="0" fontId="46" fillId="37" borderId="13" xfId="0" applyFont="1" applyFill="1" applyBorder="1" applyAlignment="1" applyProtection="1">
      <alignment horizontal="center" vertical="center"/>
    </xf>
    <xf numFmtId="0" fontId="46" fillId="37" borderId="17" xfId="0" applyFont="1" applyFill="1" applyBorder="1" applyAlignment="1" applyProtection="1">
      <alignment horizontal="center" vertical="center"/>
    </xf>
    <xf numFmtId="0" fontId="46" fillId="37" borderId="18" xfId="0" applyFont="1" applyFill="1" applyBorder="1" applyAlignment="1" applyProtection="1">
      <alignment horizontal="center" vertical="center"/>
    </xf>
    <xf numFmtId="0" fontId="53" fillId="49" borderId="13" xfId="0" applyFont="1" applyFill="1" applyBorder="1" applyAlignment="1" applyProtection="1">
      <alignment horizontal="center" vertical="center"/>
    </xf>
    <xf numFmtId="0" fontId="53" fillId="49" borderId="17" xfId="0" applyFont="1" applyFill="1" applyBorder="1" applyAlignment="1" applyProtection="1">
      <alignment horizontal="center" vertical="center"/>
    </xf>
    <xf numFmtId="0" fontId="53" fillId="49" borderId="18" xfId="0" applyFont="1" applyFill="1" applyBorder="1" applyAlignment="1" applyProtection="1">
      <alignment horizontal="center" vertical="center"/>
    </xf>
    <xf numFmtId="0" fontId="55" fillId="50" borderId="6" xfId="0" applyFont="1" applyFill="1" applyBorder="1" applyAlignment="1">
      <alignment horizontal="left" vertical="top"/>
    </xf>
    <xf numFmtId="0" fontId="55" fillId="50" borderId="7" xfId="0" applyFont="1" applyFill="1" applyBorder="1" applyAlignment="1">
      <alignment horizontal="left" vertical="top"/>
    </xf>
    <xf numFmtId="0" fontId="55" fillId="50" borderId="1" xfId="0" applyFont="1" applyFill="1" applyBorder="1" applyAlignment="1">
      <alignment horizontal="left" vertical="top"/>
    </xf>
    <xf numFmtId="0" fontId="55" fillId="50" borderId="0" xfId="0" applyFont="1" applyFill="1" applyBorder="1" applyAlignment="1">
      <alignment horizontal="left" vertical="top"/>
    </xf>
    <xf numFmtId="0" fontId="55" fillId="50" borderId="160" xfId="0" applyFont="1" applyFill="1" applyBorder="1" applyAlignment="1">
      <alignment horizontal="left" vertical="top"/>
    </xf>
    <xf numFmtId="0" fontId="55" fillId="50" borderId="158" xfId="0" applyFont="1" applyFill="1" applyBorder="1" applyAlignment="1">
      <alignment horizontal="left" vertical="top"/>
    </xf>
    <xf numFmtId="0" fontId="50" fillId="35" borderId="247" xfId="0" applyFont="1" applyFill="1" applyBorder="1" applyAlignment="1" applyProtection="1">
      <alignment horizontal="center" vertical="center" textRotation="90" wrapText="1"/>
    </xf>
    <xf numFmtId="0" fontId="50" fillId="35" borderId="244" xfId="0" applyFont="1" applyFill="1" applyBorder="1" applyAlignment="1" applyProtection="1">
      <alignment horizontal="center" vertical="center" textRotation="90" wrapText="1"/>
    </xf>
    <xf numFmtId="0" fontId="50" fillId="35" borderId="248" xfId="0" applyFont="1" applyFill="1" applyBorder="1" applyAlignment="1" applyProtection="1">
      <alignment horizontal="center" vertical="center" textRotation="90" wrapText="1"/>
    </xf>
    <xf numFmtId="0" fontId="50" fillId="35" borderId="245" xfId="0" applyFont="1" applyFill="1" applyBorder="1" applyAlignment="1" applyProtection="1">
      <alignment horizontal="center" vertical="center" textRotation="90" wrapText="1"/>
    </xf>
    <xf numFmtId="0" fontId="50" fillId="35" borderId="249" xfId="0" applyFont="1" applyFill="1" applyBorder="1" applyAlignment="1" applyProtection="1">
      <alignment horizontal="center" vertical="center" textRotation="90" wrapText="1"/>
    </xf>
    <xf numFmtId="0" fontId="67" fillId="40" borderId="39" xfId="0" applyFont="1" applyFill="1" applyBorder="1" applyAlignment="1" applyProtection="1">
      <alignment horizontal="center" vertical="center"/>
    </xf>
    <xf numFmtId="0" fontId="67" fillId="40" borderId="53" xfId="0" applyFont="1" applyFill="1" applyBorder="1" applyAlignment="1" applyProtection="1">
      <alignment horizontal="center" vertical="center"/>
    </xf>
    <xf numFmtId="0" fontId="67" fillId="40" borderId="51" xfId="0" applyFont="1" applyFill="1" applyBorder="1" applyAlignment="1" applyProtection="1">
      <alignment horizontal="center" vertical="center"/>
    </xf>
    <xf numFmtId="0" fontId="49" fillId="40" borderId="13" xfId="0" applyFont="1" applyFill="1" applyBorder="1" applyAlignment="1" applyProtection="1">
      <alignment horizontal="center" vertical="center"/>
    </xf>
    <xf numFmtId="0" fontId="49" fillId="40" borderId="17" xfId="0" applyFont="1" applyFill="1" applyBorder="1" applyAlignment="1" applyProtection="1">
      <alignment horizontal="center" vertical="center"/>
    </xf>
    <xf numFmtId="0" fontId="49" fillId="40" borderId="18" xfId="0" applyFont="1" applyFill="1" applyBorder="1" applyAlignment="1" applyProtection="1">
      <alignment horizontal="center" vertical="center"/>
    </xf>
    <xf numFmtId="0" fontId="54" fillId="40" borderId="39" xfId="0" applyFont="1" applyFill="1" applyBorder="1" applyAlignment="1">
      <alignment horizontal="center" vertical="center" wrapText="1"/>
    </xf>
    <xf numFmtId="0" fontId="54" fillId="40" borderId="53" xfId="0" applyFont="1" applyFill="1" applyBorder="1" applyAlignment="1">
      <alignment horizontal="center" vertical="center" wrapText="1"/>
    </xf>
    <xf numFmtId="0" fontId="54" fillId="40" borderId="51" xfId="0" applyFont="1" applyFill="1" applyBorder="1" applyAlignment="1">
      <alignment horizontal="center" vertical="center" wrapText="1"/>
    </xf>
    <xf numFmtId="0" fontId="49" fillId="40" borderId="46" xfId="0" applyFont="1" applyFill="1" applyBorder="1" applyAlignment="1" applyProtection="1">
      <alignment horizontal="center" vertical="center"/>
    </xf>
    <xf numFmtId="0" fontId="49" fillId="40" borderId="61" xfId="0" applyFont="1" applyFill="1" applyBorder="1" applyAlignment="1" applyProtection="1">
      <alignment horizontal="center" vertical="center"/>
    </xf>
    <xf numFmtId="0" fontId="54" fillId="4" borderId="13" xfId="0" applyFont="1" applyFill="1" applyBorder="1" applyAlignment="1">
      <alignment horizontal="center" vertical="center"/>
    </xf>
    <xf numFmtId="0" fontId="54" fillId="4" borderId="17" xfId="0" applyFont="1" applyFill="1" applyBorder="1" applyAlignment="1">
      <alignment horizontal="center" vertical="center"/>
    </xf>
    <xf numFmtId="0" fontId="54" fillId="4" borderId="18" xfId="0" applyFont="1" applyFill="1" applyBorder="1" applyAlignment="1">
      <alignment horizontal="center" vertical="center"/>
    </xf>
    <xf numFmtId="0" fontId="54" fillId="41" borderId="13" xfId="0" applyFont="1" applyFill="1" applyBorder="1" applyAlignment="1">
      <alignment horizontal="left" vertical="center" wrapText="1"/>
    </xf>
    <xf numFmtId="0" fontId="54" fillId="41" borderId="17" xfId="0" applyFont="1" applyFill="1" applyBorder="1" applyAlignment="1">
      <alignment horizontal="left" vertical="center" wrapText="1"/>
    </xf>
    <xf numFmtId="0" fontId="54" fillId="41" borderId="18" xfId="0" applyFont="1" applyFill="1" applyBorder="1" applyAlignment="1">
      <alignment horizontal="left" vertical="center" wrapText="1"/>
    </xf>
    <xf numFmtId="0" fontId="50" fillId="35" borderId="246" xfId="0" applyFont="1" applyFill="1" applyBorder="1" applyAlignment="1" applyProtection="1">
      <alignment horizontal="center" vertical="center" textRotation="90" wrapText="1"/>
    </xf>
    <xf numFmtId="0" fontId="50" fillId="35" borderId="244" xfId="0" applyFont="1" applyFill="1" applyBorder="1" applyAlignment="1" applyProtection="1">
      <alignment horizontal="center" vertical="center" textRotation="90"/>
    </xf>
    <xf numFmtId="0" fontId="47" fillId="40" borderId="0" xfId="333" applyFont="1" applyFill="1" applyBorder="1" applyAlignment="1" applyProtection="1">
      <alignment horizontal="center" vertical="center"/>
    </xf>
    <xf numFmtId="0" fontId="47" fillId="40" borderId="39" xfId="9" applyFont="1" applyFill="1" applyBorder="1" applyAlignment="1" applyProtection="1">
      <alignment horizontal="center" vertical="center"/>
    </xf>
    <xf numFmtId="0" fontId="47" fillId="40" borderId="51" xfId="9" applyFont="1" applyFill="1" applyBorder="1" applyAlignment="1" applyProtection="1">
      <alignment horizontal="center" vertical="center"/>
    </xf>
    <xf numFmtId="0" fontId="47" fillId="40" borderId="1" xfId="333" applyFont="1" applyFill="1" applyBorder="1" applyAlignment="1" applyProtection="1">
      <alignment horizontal="center" vertical="center"/>
    </xf>
    <xf numFmtId="0" fontId="47" fillId="2" borderId="8" xfId="333" applyFont="1" applyFill="1" applyBorder="1" applyAlignment="1" applyProtection="1">
      <alignment horizontal="left" vertical="center"/>
    </xf>
    <xf numFmtId="0" fontId="47" fillId="2" borderId="159" xfId="333" applyFont="1" applyFill="1" applyBorder="1" applyAlignment="1" applyProtection="1">
      <alignment horizontal="left" vertical="center"/>
    </xf>
    <xf numFmtId="0" fontId="47" fillId="40" borderId="9" xfId="333" applyFont="1" applyFill="1" applyBorder="1" applyAlignment="1" applyProtection="1">
      <alignment horizontal="center" vertical="center"/>
    </xf>
    <xf numFmtId="0" fontId="46" fillId="2" borderId="8" xfId="0" applyFont="1" applyFill="1" applyBorder="1" applyAlignment="1" applyProtection="1">
      <alignment horizontal="left" vertical="center"/>
    </xf>
    <xf numFmtId="0" fontId="46" fillId="2" borderId="160" xfId="0" applyFont="1" applyFill="1" applyBorder="1" applyAlignment="1" applyProtection="1">
      <alignment horizontal="left" vertical="center"/>
    </xf>
    <xf numFmtId="0" fontId="46" fillId="2" borderId="158" xfId="0" applyFont="1" applyFill="1" applyBorder="1" applyAlignment="1" applyProtection="1">
      <alignment horizontal="left" vertical="center"/>
    </xf>
    <xf numFmtId="0" fontId="46" fillId="2" borderId="159" xfId="0" applyFont="1" applyFill="1" applyBorder="1" applyAlignment="1" applyProtection="1">
      <alignment horizontal="left" vertical="center"/>
    </xf>
    <xf numFmtId="0" fontId="47" fillId="7" borderId="10" xfId="0" applyFont="1" applyFill="1" applyBorder="1" applyAlignment="1" applyProtection="1">
      <alignment horizontal="center" vertical="center"/>
    </xf>
    <xf numFmtId="0" fontId="47" fillId="7" borderId="11" xfId="0" applyFont="1" applyFill="1" applyBorder="1" applyAlignment="1" applyProtection="1">
      <alignment horizontal="center" vertical="center"/>
    </xf>
    <xf numFmtId="0" fontId="47" fillId="7" borderId="12" xfId="0" applyFont="1" applyFill="1" applyBorder="1" applyAlignment="1" applyProtection="1">
      <alignment horizontal="center" vertical="center"/>
    </xf>
    <xf numFmtId="0" fontId="47" fillId="40" borderId="0" xfId="0" applyFont="1" applyFill="1" applyBorder="1" applyAlignment="1" applyProtection="1">
      <alignment horizontal="center" vertical="center"/>
    </xf>
    <xf numFmtId="0" fontId="47" fillId="40" borderId="9" xfId="0" applyFont="1" applyFill="1" applyBorder="1" applyAlignment="1" applyProtection="1">
      <alignment horizontal="center" vertical="center"/>
    </xf>
    <xf numFmtId="0" fontId="47" fillId="40" borderId="1" xfId="0" applyFont="1" applyFill="1" applyBorder="1" applyAlignment="1" applyProtection="1">
      <alignment horizontal="center" vertical="center"/>
    </xf>
    <xf numFmtId="0" fontId="67" fillId="0" borderId="1" xfId="9" applyFont="1" applyFill="1" applyBorder="1" applyAlignment="1" applyProtection="1">
      <alignment horizontal="left" vertical="center" wrapText="1"/>
    </xf>
    <xf numFmtId="0" fontId="67" fillId="0" borderId="0" xfId="9" applyFont="1" applyFill="1" applyBorder="1" applyAlignment="1" applyProtection="1">
      <alignment horizontal="left" vertical="center" wrapText="1"/>
    </xf>
    <xf numFmtId="0" fontId="67" fillId="0" borderId="9" xfId="9" applyFont="1" applyFill="1" applyBorder="1" applyAlignment="1" applyProtection="1">
      <alignment horizontal="left" vertical="center" wrapText="1"/>
    </xf>
    <xf numFmtId="0" fontId="67" fillId="0" borderId="1" xfId="9" applyFont="1" applyFill="1" applyBorder="1" applyAlignment="1" applyProtection="1">
      <alignment horizontal="left" wrapText="1"/>
    </xf>
    <xf numFmtId="0" fontId="67" fillId="0" borderId="0" xfId="9" applyFont="1" applyFill="1" applyBorder="1" applyAlignment="1" applyProtection="1">
      <alignment horizontal="left" wrapText="1"/>
    </xf>
    <xf numFmtId="0" fontId="67" fillId="0" borderId="9" xfId="9" applyFont="1" applyFill="1" applyBorder="1" applyAlignment="1" applyProtection="1">
      <alignment horizontal="left" wrapText="1"/>
    </xf>
    <xf numFmtId="0" fontId="67" fillId="0" borderId="6" xfId="9" applyFont="1" applyFill="1" applyBorder="1" applyAlignment="1" applyProtection="1">
      <alignment horizontal="left" wrapText="1"/>
    </xf>
    <xf numFmtId="0" fontId="67" fillId="0" borderId="7" xfId="9" applyFont="1" applyFill="1" applyBorder="1" applyAlignment="1" applyProtection="1">
      <alignment horizontal="left" wrapText="1"/>
    </xf>
    <xf numFmtId="0" fontId="67" fillId="0" borderId="8" xfId="9" applyFont="1" applyFill="1" applyBorder="1" applyAlignment="1" applyProtection="1">
      <alignment horizontal="left" wrapText="1"/>
    </xf>
    <xf numFmtId="0" fontId="46" fillId="2" borderId="13" xfId="0" applyFont="1" applyFill="1" applyBorder="1" applyAlignment="1" applyProtection="1">
      <alignment horizontal="left" vertical="center"/>
    </xf>
    <xf numFmtId="0" fontId="46" fillId="2" borderId="17" xfId="0" applyFont="1" applyFill="1" applyBorder="1" applyAlignment="1" applyProtection="1">
      <alignment horizontal="left" vertical="center"/>
    </xf>
    <xf numFmtId="0" fontId="46" fillId="2" borderId="18" xfId="0" applyFont="1" applyFill="1" applyBorder="1" applyAlignment="1" applyProtection="1">
      <alignment horizontal="left" vertical="center"/>
    </xf>
    <xf numFmtId="3" fontId="51" fillId="33" borderId="36" xfId="2" applyNumberFormat="1" applyFont="1" applyFill="1" applyBorder="1" applyAlignment="1" applyProtection="1">
      <alignment horizontal="center"/>
    </xf>
    <xf numFmtId="10" fontId="51" fillId="35" borderId="34" xfId="36" applyNumberFormat="1" applyFont="1" applyFill="1" applyBorder="1" applyAlignment="1" applyProtection="1">
      <alignment horizontal="center"/>
    </xf>
    <xf numFmtId="3" fontId="51" fillId="33" borderId="34" xfId="2" applyNumberFormat="1" applyFont="1" applyFill="1" applyBorder="1" applyAlignment="1" applyProtection="1">
      <alignment horizontal="center"/>
    </xf>
    <xf numFmtId="3" fontId="51" fillId="35" borderId="34" xfId="0" applyNumberFormat="1" applyFont="1" applyFill="1" applyBorder="1" applyAlignment="1" applyProtection="1">
      <alignment horizontal="center"/>
    </xf>
    <xf numFmtId="3" fontId="51" fillId="35" borderId="25" xfId="0" applyNumberFormat="1" applyFont="1" applyFill="1" applyBorder="1" applyAlignment="1" applyProtection="1">
      <alignment horizontal="center"/>
    </xf>
    <xf numFmtId="3" fontId="51" fillId="33" borderId="34" xfId="9" applyNumberFormat="1" applyFont="1" applyFill="1" applyBorder="1" applyAlignment="1" applyProtection="1">
      <alignment horizontal="center"/>
    </xf>
    <xf numFmtId="3" fontId="51" fillId="33" borderId="25" xfId="9" applyNumberFormat="1" applyFont="1" applyFill="1" applyBorder="1" applyAlignment="1" applyProtection="1">
      <alignment horizontal="center"/>
    </xf>
    <xf numFmtId="3" fontId="51" fillId="33" borderId="257" xfId="9" applyNumberFormat="1" applyFont="1" applyFill="1" applyBorder="1" applyAlignment="1" applyProtection="1">
      <alignment horizontal="center"/>
    </xf>
    <xf numFmtId="3" fontId="51" fillId="33" borderId="17" xfId="9" applyNumberFormat="1" applyFont="1" applyFill="1" applyBorder="1" applyAlignment="1" applyProtection="1">
      <alignment horizontal="center"/>
    </xf>
    <xf numFmtId="3" fontId="51" fillId="33" borderId="18" xfId="9" applyNumberFormat="1" applyFont="1" applyFill="1" applyBorder="1" applyAlignment="1" applyProtection="1">
      <alignment horizontal="center"/>
    </xf>
    <xf numFmtId="10" fontId="51" fillId="33" borderId="3" xfId="9" applyNumberFormat="1" applyFont="1" applyFill="1" applyBorder="1" applyAlignment="1" applyProtection="1">
      <alignment horizontal="center"/>
    </xf>
    <xf numFmtId="10" fontId="51" fillId="33" borderId="0" xfId="9" applyNumberFormat="1" applyFont="1" applyFill="1" applyBorder="1" applyAlignment="1" applyProtection="1">
      <alignment horizontal="center"/>
    </xf>
    <xf numFmtId="10" fontId="51" fillId="33" borderId="9" xfId="9" applyNumberFormat="1" applyFont="1" applyFill="1" applyBorder="1" applyAlignment="1" applyProtection="1">
      <alignment horizontal="center"/>
    </xf>
    <xf numFmtId="0" fontId="84" fillId="0" borderId="1" xfId="0" applyFont="1" applyFill="1" applyBorder="1" applyAlignment="1" applyProtection="1">
      <alignment horizontal="center" wrapText="1"/>
    </xf>
    <xf numFmtId="0" fontId="84" fillId="0" borderId="0" xfId="0" applyFont="1" applyFill="1" applyBorder="1" applyAlignment="1" applyProtection="1">
      <alignment horizontal="center" wrapText="1"/>
    </xf>
    <xf numFmtId="0" fontId="84" fillId="0" borderId="9" xfId="0" applyFont="1" applyFill="1" applyBorder="1" applyAlignment="1" applyProtection="1">
      <alignment horizontal="center" wrapText="1"/>
    </xf>
    <xf numFmtId="0" fontId="50" fillId="35" borderId="34" xfId="9" applyFont="1" applyFill="1" applyBorder="1" applyAlignment="1" applyProtection="1">
      <alignment horizontal="center"/>
    </xf>
    <xf numFmtId="3" fontId="51" fillId="33" borderId="3" xfId="0" applyNumberFormat="1" applyFont="1" applyFill="1" applyBorder="1" applyAlignment="1" applyProtection="1">
      <alignment horizontal="center"/>
    </xf>
    <xf numFmtId="3" fontId="51" fillId="33" borderId="9" xfId="0" applyNumberFormat="1" applyFont="1" applyFill="1" applyBorder="1" applyAlignment="1" applyProtection="1">
      <alignment horizontal="center"/>
    </xf>
    <xf numFmtId="0" fontId="50" fillId="35" borderId="186" xfId="9" applyFont="1" applyFill="1" applyBorder="1" applyAlignment="1" applyProtection="1">
      <alignment horizontal="center"/>
    </xf>
    <xf numFmtId="3" fontId="51" fillId="33" borderId="190" xfId="0" applyNumberFormat="1" applyFont="1" applyFill="1" applyBorder="1" applyAlignment="1" applyProtection="1">
      <alignment horizontal="center"/>
    </xf>
    <xf numFmtId="3" fontId="51" fillId="33" borderId="180" xfId="0" applyNumberFormat="1" applyFont="1" applyFill="1" applyBorder="1" applyAlignment="1" applyProtection="1">
      <alignment horizontal="center"/>
    </xf>
    <xf numFmtId="10" fontId="50" fillId="33" borderId="174" xfId="9" applyNumberFormat="1" applyFont="1" applyFill="1" applyBorder="1" applyAlignment="1" applyProtection="1">
      <alignment horizontal="center"/>
    </xf>
    <xf numFmtId="10" fontId="50" fillId="33" borderId="256" xfId="9" applyNumberFormat="1" applyFont="1" applyFill="1" applyBorder="1" applyAlignment="1" applyProtection="1">
      <alignment horizontal="center"/>
    </xf>
    <xf numFmtId="10" fontId="50" fillId="33" borderId="233" xfId="9" applyNumberFormat="1" applyFont="1" applyFill="1" applyBorder="1" applyAlignment="1" applyProtection="1">
      <alignment horizontal="center"/>
    </xf>
    <xf numFmtId="0" fontId="46" fillId="40" borderId="35" xfId="9" applyFont="1" applyFill="1" applyBorder="1" applyAlignment="1" applyProtection="1">
      <alignment horizontal="center" vertical="center"/>
    </xf>
    <xf numFmtId="2" fontId="46" fillId="40" borderId="35" xfId="9" applyNumberFormat="1" applyFont="1" applyFill="1" applyBorder="1" applyAlignment="1" applyProtection="1">
      <alignment horizontal="center" vertical="center"/>
    </xf>
    <xf numFmtId="2" fontId="46" fillId="40" borderId="31" xfId="9" applyNumberFormat="1" applyFont="1" applyFill="1" applyBorder="1" applyAlignment="1" applyProtection="1">
      <alignment horizontal="center" vertical="center"/>
    </xf>
    <xf numFmtId="0" fontId="47" fillId="46" borderId="8" xfId="0" applyFont="1" applyFill="1" applyBorder="1" applyAlignment="1" applyProtection="1">
      <alignment horizontal="center" vertical="center"/>
    </xf>
    <xf numFmtId="0" fontId="47" fillId="46" borderId="159" xfId="0" applyFont="1" applyFill="1" applyBorder="1" applyAlignment="1" applyProtection="1">
      <alignment horizontal="center" vertical="center"/>
    </xf>
    <xf numFmtId="0" fontId="47" fillId="46" borderId="6" xfId="0" applyFont="1" applyFill="1" applyBorder="1" applyAlignment="1" applyProtection="1">
      <alignment horizontal="center" vertical="center"/>
    </xf>
    <xf numFmtId="0" fontId="47" fillId="46" borderId="160" xfId="0" applyFont="1" applyFill="1" applyBorder="1" applyAlignment="1" applyProtection="1">
      <alignment horizontal="center" vertical="center"/>
    </xf>
    <xf numFmtId="0" fontId="47" fillId="46" borderId="7" xfId="0" applyFont="1" applyFill="1" applyBorder="1" applyAlignment="1" applyProtection="1">
      <alignment horizontal="center" vertical="center"/>
    </xf>
    <xf numFmtId="0" fontId="47" fillId="46" borderId="158" xfId="0" applyFont="1" applyFill="1" applyBorder="1" applyAlignment="1" applyProtection="1">
      <alignment horizontal="center" vertical="center"/>
    </xf>
    <xf numFmtId="0" fontId="46" fillId="2" borderId="1" xfId="0" applyFont="1" applyFill="1" applyBorder="1" applyAlignment="1" applyProtection="1">
      <alignment horizontal="left" vertical="center"/>
    </xf>
    <xf numFmtId="0" fontId="46" fillId="2" borderId="9" xfId="0" applyFont="1" applyFill="1" applyBorder="1" applyAlignment="1" applyProtection="1">
      <alignment horizontal="left" vertical="center"/>
    </xf>
    <xf numFmtId="0" fontId="49" fillId="40" borderId="17" xfId="0" applyFont="1" applyFill="1" applyBorder="1" applyAlignment="1" applyProtection="1">
      <alignment horizontal="center"/>
    </xf>
    <xf numFmtId="0" fontId="49" fillId="40" borderId="18" xfId="0" applyFont="1" applyFill="1" applyBorder="1" applyAlignment="1" applyProtection="1">
      <alignment horizontal="center"/>
    </xf>
    <xf numFmtId="0" fontId="47" fillId="7" borderId="15" xfId="0" applyFont="1" applyFill="1" applyBorder="1" applyAlignment="1" applyProtection="1">
      <alignment horizontal="center" vertical="center"/>
    </xf>
    <xf numFmtId="0" fontId="47" fillId="7" borderId="28" xfId="0" applyFont="1" applyFill="1" applyBorder="1" applyAlignment="1" applyProtection="1">
      <alignment horizontal="center" vertical="center"/>
    </xf>
    <xf numFmtId="0" fontId="47" fillId="40" borderId="15" xfId="0" applyFont="1" applyFill="1" applyBorder="1" applyAlignment="1" applyProtection="1">
      <alignment horizontal="center" vertical="center"/>
    </xf>
    <xf numFmtId="0" fontId="47" fillId="40" borderId="28" xfId="0" applyFont="1" applyFill="1" applyBorder="1" applyAlignment="1" applyProtection="1">
      <alignment horizontal="center" vertical="center"/>
    </xf>
    <xf numFmtId="0" fontId="47" fillId="40" borderId="16" xfId="0" applyFont="1" applyFill="1" applyBorder="1" applyAlignment="1" applyProtection="1">
      <alignment horizontal="center" vertical="center"/>
    </xf>
    <xf numFmtId="0" fontId="48" fillId="54" borderId="236" xfId="0" applyFont="1" applyFill="1" applyBorder="1" applyAlignment="1" applyProtection="1">
      <alignment horizontal="center" wrapText="1"/>
    </xf>
    <xf numFmtId="0" fontId="48" fillId="54" borderId="237" xfId="0" applyFont="1" applyFill="1" applyBorder="1" applyAlignment="1" applyProtection="1">
      <alignment horizontal="center" wrapText="1"/>
    </xf>
    <xf numFmtId="0" fontId="49" fillId="52" borderId="36" xfId="0" applyFont="1" applyFill="1" applyBorder="1" applyAlignment="1" applyProtection="1">
      <alignment horizontal="center" vertical="center"/>
    </xf>
    <xf numFmtId="0" fontId="49" fillId="52" borderId="34" xfId="0" applyFont="1" applyFill="1" applyBorder="1" applyAlignment="1" applyProtection="1">
      <alignment horizontal="center" vertical="center"/>
    </xf>
    <xf numFmtId="0" fontId="49" fillId="52" borderId="189" xfId="0" applyFont="1" applyFill="1" applyBorder="1" applyAlignment="1" applyProtection="1">
      <alignment horizontal="center" vertical="center"/>
    </xf>
    <xf numFmtId="0" fontId="47" fillId="4" borderId="39" xfId="0" applyFont="1" applyFill="1" applyBorder="1" applyAlignment="1" applyProtection="1">
      <alignment horizontal="center" vertical="center"/>
    </xf>
    <xf numFmtId="0" fontId="47" fillId="4" borderId="53" xfId="0" applyFont="1" applyFill="1" applyBorder="1" applyAlignment="1" applyProtection="1">
      <alignment horizontal="center" vertical="center"/>
    </xf>
    <xf numFmtId="0" fontId="47" fillId="4" borderId="51" xfId="0" applyFont="1" applyFill="1" applyBorder="1" applyAlignment="1" applyProtection="1">
      <alignment horizontal="center" vertical="center"/>
    </xf>
    <xf numFmtId="0" fontId="101" fillId="0" borderId="236" xfId="0" applyFont="1" applyFill="1" applyBorder="1" applyAlignment="1" applyProtection="1">
      <alignment horizontal="center" vertical="center" wrapText="1"/>
    </xf>
    <xf numFmtId="0" fontId="101" fillId="0" borderId="237" xfId="0" applyFont="1" applyFill="1" applyBorder="1" applyAlignment="1" applyProtection="1">
      <alignment horizontal="center" vertical="center" wrapText="1"/>
    </xf>
    <xf numFmtId="0" fontId="54" fillId="4" borderId="6" xfId="0" applyFont="1" applyFill="1" applyBorder="1" applyAlignment="1" applyProtection="1">
      <alignment horizontal="center" vertical="center"/>
    </xf>
    <xf numFmtId="0" fontId="54" fillId="4" borderId="7" xfId="0" applyFont="1" applyFill="1" applyBorder="1" applyAlignment="1" applyProtection="1">
      <alignment horizontal="center" vertical="center"/>
    </xf>
    <xf numFmtId="0" fontId="54" fillId="4" borderId="8" xfId="0" applyFont="1" applyFill="1" applyBorder="1" applyAlignment="1" applyProtection="1">
      <alignment horizontal="center" vertical="center"/>
    </xf>
    <xf numFmtId="0" fontId="54" fillId="4" borderId="160" xfId="0" applyFont="1" applyFill="1" applyBorder="1" applyAlignment="1" applyProtection="1">
      <alignment horizontal="center" vertical="center"/>
    </xf>
    <xf numFmtId="0" fontId="54" fillId="4" borderId="158" xfId="0" applyFont="1" applyFill="1" applyBorder="1" applyAlignment="1" applyProtection="1">
      <alignment horizontal="center" vertical="center"/>
    </xf>
    <xf numFmtId="0" fontId="54" fillId="4" borderId="159" xfId="0" applyFont="1" applyFill="1" applyBorder="1" applyAlignment="1" applyProtection="1">
      <alignment horizontal="center" vertical="center"/>
    </xf>
    <xf numFmtId="0" fontId="49" fillId="52" borderId="24" xfId="0" applyFont="1" applyFill="1" applyBorder="1" applyAlignment="1" applyProtection="1">
      <alignment horizontal="center" vertical="center"/>
    </xf>
    <xf numFmtId="0" fontId="49" fillId="52" borderId="25" xfId="0" applyFont="1" applyFill="1" applyBorder="1" applyAlignment="1" applyProtection="1">
      <alignment horizontal="center" vertical="center"/>
    </xf>
    <xf numFmtId="0" fontId="49" fillId="52" borderId="171" xfId="0" applyFont="1" applyFill="1" applyBorder="1" applyAlignment="1" applyProtection="1">
      <alignment horizontal="center" vertical="center"/>
    </xf>
    <xf numFmtId="0" fontId="49" fillId="52" borderId="179" xfId="0" applyFont="1" applyFill="1" applyBorder="1" applyAlignment="1" applyProtection="1">
      <alignment horizontal="center" vertical="center"/>
    </xf>
    <xf numFmtId="0" fontId="49" fillId="52" borderId="62" xfId="0" applyFont="1" applyFill="1" applyBorder="1" applyAlignment="1" applyProtection="1">
      <alignment horizontal="center" vertical="center"/>
    </xf>
    <xf numFmtId="0" fontId="49" fillId="52" borderId="182" xfId="0" applyFont="1" applyFill="1" applyBorder="1" applyAlignment="1" applyProtection="1">
      <alignment horizontal="center" vertical="center"/>
    </xf>
    <xf numFmtId="0" fontId="49" fillId="4" borderId="39" xfId="0" applyFont="1" applyFill="1" applyBorder="1" applyAlignment="1" applyProtection="1">
      <alignment horizontal="center" vertical="center"/>
    </xf>
    <xf numFmtId="0" fontId="49" fillId="4" borderId="53" xfId="0" applyFont="1" applyFill="1" applyBorder="1" applyAlignment="1" applyProtection="1">
      <alignment horizontal="center" vertical="center"/>
    </xf>
    <xf numFmtId="0" fontId="49" fillId="4" borderId="51" xfId="0" applyFont="1" applyFill="1" applyBorder="1" applyAlignment="1" applyProtection="1">
      <alignment horizontal="center" vertical="center"/>
    </xf>
    <xf numFmtId="0" fontId="49" fillId="53" borderId="13" xfId="0" applyFont="1" applyFill="1" applyBorder="1" applyAlignment="1" applyProtection="1">
      <alignment horizontal="center"/>
    </xf>
    <xf numFmtId="0" fontId="49" fillId="53" borderId="17" xfId="0" applyFont="1" applyFill="1" applyBorder="1" applyAlignment="1" applyProtection="1">
      <alignment horizontal="center"/>
    </xf>
    <xf numFmtId="0" fontId="49" fillId="53" borderId="18" xfId="0" applyFont="1" applyFill="1" applyBorder="1" applyAlignment="1" applyProtection="1">
      <alignment horizontal="center"/>
    </xf>
    <xf numFmtId="0" fontId="97" fillId="51" borderId="0" xfId="333" applyFont="1" applyFill="1" applyBorder="1" applyAlignment="1">
      <alignment horizontal="left" wrapText="1"/>
    </xf>
  </cellXfs>
  <cellStyles count="342">
    <cellStyle name="20 % – Zvýraznění1 2" xfId="41" xr:uid="{00000000-0005-0000-0000-000000000000}"/>
    <cellStyle name="20 % – Zvýraznění1 2 2" xfId="42" xr:uid="{00000000-0005-0000-0000-000001000000}"/>
    <cellStyle name="20 % – Zvýraznění1 2 3" xfId="43" xr:uid="{00000000-0005-0000-0000-000002000000}"/>
    <cellStyle name="20 % – Zvýraznění1 2 4" xfId="44" xr:uid="{00000000-0005-0000-0000-000003000000}"/>
    <cellStyle name="20 % – Zvýraznění1 2 5" xfId="45" xr:uid="{00000000-0005-0000-0000-000004000000}"/>
    <cellStyle name="20 % – Zvýraznění1 2 6" xfId="46" xr:uid="{00000000-0005-0000-0000-000005000000}"/>
    <cellStyle name="20 % – Zvýraznění2 2" xfId="47" xr:uid="{00000000-0005-0000-0000-000006000000}"/>
    <cellStyle name="20 % – Zvýraznění2 2 2" xfId="48" xr:uid="{00000000-0005-0000-0000-000007000000}"/>
    <cellStyle name="20 % – Zvýraznění2 2 3" xfId="49" xr:uid="{00000000-0005-0000-0000-000008000000}"/>
    <cellStyle name="20 % – Zvýraznění2 2 4" xfId="50" xr:uid="{00000000-0005-0000-0000-000009000000}"/>
    <cellStyle name="20 % – Zvýraznění2 2 5" xfId="51" xr:uid="{00000000-0005-0000-0000-00000A000000}"/>
    <cellStyle name="20 % – Zvýraznění2 2 6" xfId="52" xr:uid="{00000000-0005-0000-0000-00000B000000}"/>
    <cellStyle name="20 % – Zvýraznění3 2" xfId="53" xr:uid="{00000000-0005-0000-0000-00000C000000}"/>
    <cellStyle name="20 % – Zvýraznění3 2 2" xfId="54" xr:uid="{00000000-0005-0000-0000-00000D000000}"/>
    <cellStyle name="20 % – Zvýraznění3 2 3" xfId="55" xr:uid="{00000000-0005-0000-0000-00000E000000}"/>
    <cellStyle name="20 % – Zvýraznění3 2 4" xfId="56" xr:uid="{00000000-0005-0000-0000-00000F000000}"/>
    <cellStyle name="20 % – Zvýraznění3 2 5" xfId="57" xr:uid="{00000000-0005-0000-0000-000010000000}"/>
    <cellStyle name="20 % – Zvýraznění3 2 6" xfId="58" xr:uid="{00000000-0005-0000-0000-000011000000}"/>
    <cellStyle name="20 % – Zvýraznění4 2" xfId="59" xr:uid="{00000000-0005-0000-0000-000012000000}"/>
    <cellStyle name="20 % – Zvýraznění4 2 2" xfId="60" xr:uid="{00000000-0005-0000-0000-000013000000}"/>
    <cellStyle name="20 % – Zvýraznění4 2 3" xfId="61" xr:uid="{00000000-0005-0000-0000-000014000000}"/>
    <cellStyle name="20 % – Zvýraznění4 2 4" xfId="62" xr:uid="{00000000-0005-0000-0000-000015000000}"/>
    <cellStyle name="20 % – Zvýraznění4 2 5" xfId="63" xr:uid="{00000000-0005-0000-0000-000016000000}"/>
    <cellStyle name="20 % – Zvýraznění4 2 6" xfId="64" xr:uid="{00000000-0005-0000-0000-000017000000}"/>
    <cellStyle name="20 % – Zvýraznění5 2" xfId="65" xr:uid="{00000000-0005-0000-0000-000018000000}"/>
    <cellStyle name="20 % – Zvýraznění5 2 2" xfId="66" xr:uid="{00000000-0005-0000-0000-000019000000}"/>
    <cellStyle name="20 % – Zvýraznění5 2 3" xfId="67" xr:uid="{00000000-0005-0000-0000-00001A000000}"/>
    <cellStyle name="20 % – Zvýraznění5 2 4" xfId="68" xr:uid="{00000000-0005-0000-0000-00001B000000}"/>
    <cellStyle name="20 % – Zvýraznění5 2 5" xfId="69" xr:uid="{00000000-0005-0000-0000-00001C000000}"/>
    <cellStyle name="20 % – Zvýraznění5 2 6" xfId="70" xr:uid="{00000000-0005-0000-0000-00001D000000}"/>
    <cellStyle name="20 % – Zvýraznění6 2" xfId="71" xr:uid="{00000000-0005-0000-0000-00001E000000}"/>
    <cellStyle name="20 % – Zvýraznění6 2 2" xfId="72" xr:uid="{00000000-0005-0000-0000-00001F000000}"/>
    <cellStyle name="20 % – Zvýraznění6 2 3" xfId="73" xr:uid="{00000000-0005-0000-0000-000020000000}"/>
    <cellStyle name="20 % – Zvýraznění6 2 4" xfId="74" xr:uid="{00000000-0005-0000-0000-000021000000}"/>
    <cellStyle name="20 % – Zvýraznění6 2 5" xfId="75" xr:uid="{00000000-0005-0000-0000-000022000000}"/>
    <cellStyle name="20 % – Zvýraznění6 2 6" xfId="76" xr:uid="{00000000-0005-0000-0000-000023000000}"/>
    <cellStyle name="40 % – Zvýraznění1 2" xfId="77" xr:uid="{00000000-0005-0000-0000-000024000000}"/>
    <cellStyle name="40 % – Zvýraznění1 2 2" xfId="78" xr:uid="{00000000-0005-0000-0000-000025000000}"/>
    <cellStyle name="40 % – Zvýraznění1 2 3" xfId="79" xr:uid="{00000000-0005-0000-0000-000026000000}"/>
    <cellStyle name="40 % – Zvýraznění1 2 4" xfId="80" xr:uid="{00000000-0005-0000-0000-000027000000}"/>
    <cellStyle name="40 % – Zvýraznění1 2 5" xfId="81" xr:uid="{00000000-0005-0000-0000-000028000000}"/>
    <cellStyle name="40 % – Zvýraznění1 2 6" xfId="82" xr:uid="{00000000-0005-0000-0000-000029000000}"/>
    <cellStyle name="40 % – Zvýraznění2 2" xfId="83" xr:uid="{00000000-0005-0000-0000-00002A000000}"/>
    <cellStyle name="40 % – Zvýraznění2 2 2" xfId="84" xr:uid="{00000000-0005-0000-0000-00002B000000}"/>
    <cellStyle name="40 % – Zvýraznění2 2 3" xfId="85" xr:uid="{00000000-0005-0000-0000-00002C000000}"/>
    <cellStyle name="40 % – Zvýraznění2 2 4" xfId="86" xr:uid="{00000000-0005-0000-0000-00002D000000}"/>
    <cellStyle name="40 % – Zvýraznění2 2 5" xfId="87" xr:uid="{00000000-0005-0000-0000-00002E000000}"/>
    <cellStyle name="40 % – Zvýraznění2 2 6" xfId="88" xr:uid="{00000000-0005-0000-0000-00002F000000}"/>
    <cellStyle name="40 % – Zvýraznění3 2" xfId="89" xr:uid="{00000000-0005-0000-0000-000030000000}"/>
    <cellStyle name="40 % – Zvýraznění3 2 2" xfId="90" xr:uid="{00000000-0005-0000-0000-000031000000}"/>
    <cellStyle name="40 % – Zvýraznění3 2 3" xfId="91" xr:uid="{00000000-0005-0000-0000-000032000000}"/>
    <cellStyle name="40 % – Zvýraznění3 2 4" xfId="92" xr:uid="{00000000-0005-0000-0000-000033000000}"/>
    <cellStyle name="40 % – Zvýraznění3 2 5" xfId="93" xr:uid="{00000000-0005-0000-0000-000034000000}"/>
    <cellStyle name="40 % – Zvýraznění3 2 6" xfId="94" xr:uid="{00000000-0005-0000-0000-000035000000}"/>
    <cellStyle name="40 % – Zvýraznění4 2" xfId="95" xr:uid="{00000000-0005-0000-0000-000036000000}"/>
    <cellStyle name="40 % – Zvýraznění4 2 2" xfId="96" xr:uid="{00000000-0005-0000-0000-000037000000}"/>
    <cellStyle name="40 % – Zvýraznění4 2 3" xfId="97" xr:uid="{00000000-0005-0000-0000-000038000000}"/>
    <cellStyle name="40 % – Zvýraznění4 2 4" xfId="98" xr:uid="{00000000-0005-0000-0000-000039000000}"/>
    <cellStyle name="40 % – Zvýraznění4 2 5" xfId="99" xr:uid="{00000000-0005-0000-0000-00003A000000}"/>
    <cellStyle name="40 % – Zvýraznění4 2 6" xfId="100" xr:uid="{00000000-0005-0000-0000-00003B000000}"/>
    <cellStyle name="40 % – Zvýraznění5 2" xfId="101" xr:uid="{00000000-0005-0000-0000-00003C000000}"/>
    <cellStyle name="40 % – Zvýraznění5 2 2" xfId="102" xr:uid="{00000000-0005-0000-0000-00003D000000}"/>
    <cellStyle name="40 % – Zvýraznění5 2 3" xfId="103" xr:uid="{00000000-0005-0000-0000-00003E000000}"/>
    <cellStyle name="40 % – Zvýraznění5 2 4" xfId="104" xr:uid="{00000000-0005-0000-0000-00003F000000}"/>
    <cellStyle name="40 % – Zvýraznění5 2 5" xfId="105" xr:uid="{00000000-0005-0000-0000-000040000000}"/>
    <cellStyle name="40 % – Zvýraznění5 2 6" xfId="106" xr:uid="{00000000-0005-0000-0000-000041000000}"/>
    <cellStyle name="40 % – Zvýraznění6 2" xfId="107" xr:uid="{00000000-0005-0000-0000-000042000000}"/>
    <cellStyle name="40 % – Zvýraznění6 2 2" xfId="108" xr:uid="{00000000-0005-0000-0000-000043000000}"/>
    <cellStyle name="40 % – Zvýraznění6 2 3" xfId="109" xr:uid="{00000000-0005-0000-0000-000044000000}"/>
    <cellStyle name="40 % – Zvýraznění6 2 4" xfId="110" xr:uid="{00000000-0005-0000-0000-000045000000}"/>
    <cellStyle name="40 % – Zvýraznění6 2 5" xfId="111" xr:uid="{00000000-0005-0000-0000-000046000000}"/>
    <cellStyle name="40 % – Zvýraznění6 2 6" xfId="112" xr:uid="{00000000-0005-0000-0000-000047000000}"/>
    <cellStyle name="60 % – Zvýraznění1 2" xfId="113" xr:uid="{00000000-0005-0000-0000-000048000000}"/>
    <cellStyle name="60 % – Zvýraznění1 2 2" xfId="114" xr:uid="{00000000-0005-0000-0000-000049000000}"/>
    <cellStyle name="60 % – Zvýraznění1 2 3" xfId="115" xr:uid="{00000000-0005-0000-0000-00004A000000}"/>
    <cellStyle name="60 % – Zvýraznění1 2 4" xfId="116" xr:uid="{00000000-0005-0000-0000-00004B000000}"/>
    <cellStyle name="60 % – Zvýraznění1 2 5" xfId="117" xr:uid="{00000000-0005-0000-0000-00004C000000}"/>
    <cellStyle name="60 % – Zvýraznění1 2 6" xfId="118" xr:uid="{00000000-0005-0000-0000-00004D000000}"/>
    <cellStyle name="60 % – Zvýraznění2 2" xfId="119" xr:uid="{00000000-0005-0000-0000-00004E000000}"/>
    <cellStyle name="60 % – Zvýraznění2 2 2" xfId="120" xr:uid="{00000000-0005-0000-0000-00004F000000}"/>
    <cellStyle name="60 % – Zvýraznění2 2 3" xfId="121" xr:uid="{00000000-0005-0000-0000-000050000000}"/>
    <cellStyle name="60 % – Zvýraznění2 2 4" xfId="122" xr:uid="{00000000-0005-0000-0000-000051000000}"/>
    <cellStyle name="60 % – Zvýraznění2 2 5" xfId="123" xr:uid="{00000000-0005-0000-0000-000052000000}"/>
    <cellStyle name="60 % – Zvýraznění2 2 6" xfId="124" xr:uid="{00000000-0005-0000-0000-000053000000}"/>
    <cellStyle name="60 % – Zvýraznění3 2" xfId="125" xr:uid="{00000000-0005-0000-0000-000054000000}"/>
    <cellStyle name="60 % – Zvýraznění3 2 2" xfId="126" xr:uid="{00000000-0005-0000-0000-000055000000}"/>
    <cellStyle name="60 % – Zvýraznění3 2 3" xfId="127" xr:uid="{00000000-0005-0000-0000-000056000000}"/>
    <cellStyle name="60 % – Zvýraznění3 2 4" xfId="128" xr:uid="{00000000-0005-0000-0000-000057000000}"/>
    <cellStyle name="60 % – Zvýraznění3 2 5" xfId="129" xr:uid="{00000000-0005-0000-0000-000058000000}"/>
    <cellStyle name="60 % – Zvýraznění3 2 6" xfId="130" xr:uid="{00000000-0005-0000-0000-000059000000}"/>
    <cellStyle name="60 % – Zvýraznění4 2" xfId="131" xr:uid="{00000000-0005-0000-0000-00005A000000}"/>
    <cellStyle name="60 % – Zvýraznění4 2 2" xfId="132" xr:uid="{00000000-0005-0000-0000-00005B000000}"/>
    <cellStyle name="60 % – Zvýraznění4 2 3" xfId="133" xr:uid="{00000000-0005-0000-0000-00005C000000}"/>
    <cellStyle name="60 % – Zvýraznění4 2 4" xfId="134" xr:uid="{00000000-0005-0000-0000-00005D000000}"/>
    <cellStyle name="60 % – Zvýraznění4 2 5" xfId="135" xr:uid="{00000000-0005-0000-0000-00005E000000}"/>
    <cellStyle name="60 % – Zvýraznění4 2 6" xfId="136" xr:uid="{00000000-0005-0000-0000-00005F000000}"/>
    <cellStyle name="60 % – Zvýraznění5 2" xfId="137" xr:uid="{00000000-0005-0000-0000-000060000000}"/>
    <cellStyle name="60 % – Zvýraznění5 2 2" xfId="138" xr:uid="{00000000-0005-0000-0000-000061000000}"/>
    <cellStyle name="60 % – Zvýraznění5 2 3" xfId="139" xr:uid="{00000000-0005-0000-0000-000062000000}"/>
    <cellStyle name="60 % – Zvýraznění5 2 4" xfId="140" xr:uid="{00000000-0005-0000-0000-000063000000}"/>
    <cellStyle name="60 % – Zvýraznění5 2 5" xfId="141" xr:uid="{00000000-0005-0000-0000-000064000000}"/>
    <cellStyle name="60 % – Zvýraznění5 2 6" xfId="142" xr:uid="{00000000-0005-0000-0000-000065000000}"/>
    <cellStyle name="60 % – Zvýraznění6 2" xfId="143" xr:uid="{00000000-0005-0000-0000-000066000000}"/>
    <cellStyle name="60 % – Zvýraznění6 2 2" xfId="144" xr:uid="{00000000-0005-0000-0000-000067000000}"/>
    <cellStyle name="60 % – Zvýraznění6 2 3" xfId="145" xr:uid="{00000000-0005-0000-0000-000068000000}"/>
    <cellStyle name="60 % – Zvýraznění6 2 4" xfId="146" xr:uid="{00000000-0005-0000-0000-000069000000}"/>
    <cellStyle name="60 % – Zvýraznění6 2 5" xfId="147" xr:uid="{00000000-0005-0000-0000-00006A000000}"/>
    <cellStyle name="60 % – Zvýraznění6 2 6" xfId="148" xr:uid="{00000000-0005-0000-0000-00006B000000}"/>
    <cellStyle name="BorderStyle" xfId="149" xr:uid="{00000000-0005-0000-0000-00006C000000}"/>
    <cellStyle name="Cele, oddel tisice" xfId="1" xr:uid="{00000000-0005-0000-0000-00006D000000}"/>
    <cellStyle name="Celkem 2" xfId="150" xr:uid="{00000000-0005-0000-0000-00006E000000}"/>
    <cellStyle name="Celkem 2 2" xfId="151" xr:uid="{00000000-0005-0000-0000-00006F000000}"/>
    <cellStyle name="Celkem 2 3" xfId="152" xr:uid="{00000000-0005-0000-0000-000070000000}"/>
    <cellStyle name="Celkem 2 4" xfId="153" xr:uid="{00000000-0005-0000-0000-000071000000}"/>
    <cellStyle name="Celkem 2 5" xfId="154" xr:uid="{00000000-0005-0000-0000-000072000000}"/>
    <cellStyle name="Celkem 2 6" xfId="155" xr:uid="{00000000-0005-0000-0000-000073000000}"/>
    <cellStyle name="Čárka" xfId="2" builtinId="3"/>
    <cellStyle name="Čárka 2" xfId="3" xr:uid="{00000000-0005-0000-0000-000075000000}"/>
    <cellStyle name="Čárka 3" xfId="4" xr:uid="{00000000-0005-0000-0000-000076000000}"/>
    <cellStyle name="čárky [0]_banka" xfId="156" xr:uid="{00000000-0005-0000-0000-000077000000}"/>
    <cellStyle name="čárky 10" xfId="157" xr:uid="{00000000-0005-0000-0000-000078000000}"/>
    <cellStyle name="čárky 11" xfId="158" xr:uid="{00000000-0005-0000-0000-000079000000}"/>
    <cellStyle name="čárky 12" xfId="159" xr:uid="{00000000-0005-0000-0000-00007A000000}"/>
    <cellStyle name="čárky 13" xfId="160" xr:uid="{00000000-0005-0000-0000-00007B000000}"/>
    <cellStyle name="čárky 14" xfId="161" xr:uid="{00000000-0005-0000-0000-00007C000000}"/>
    <cellStyle name="čárky 15" xfId="162" xr:uid="{00000000-0005-0000-0000-00007D000000}"/>
    <cellStyle name="čárky 2" xfId="5" xr:uid="{00000000-0005-0000-0000-00007E000000}"/>
    <cellStyle name="čárky 2 2" xfId="6" xr:uid="{00000000-0005-0000-0000-00007F000000}"/>
    <cellStyle name="čárky 2 3" xfId="163" xr:uid="{00000000-0005-0000-0000-000080000000}"/>
    <cellStyle name="čárky 3" xfId="7" xr:uid="{00000000-0005-0000-0000-000081000000}"/>
    <cellStyle name="čárky 3 2" xfId="8" xr:uid="{00000000-0005-0000-0000-000082000000}"/>
    <cellStyle name="čárky 3 3" xfId="164" xr:uid="{00000000-0005-0000-0000-000083000000}"/>
    <cellStyle name="čárky 3 4" xfId="165" xr:uid="{00000000-0005-0000-0000-000084000000}"/>
    <cellStyle name="čárky 4" xfId="166" xr:uid="{00000000-0005-0000-0000-000085000000}"/>
    <cellStyle name="čárky 4 2" xfId="167" xr:uid="{00000000-0005-0000-0000-000086000000}"/>
    <cellStyle name="čárky 5" xfId="168" xr:uid="{00000000-0005-0000-0000-000087000000}"/>
    <cellStyle name="čárky 6" xfId="169" xr:uid="{00000000-0005-0000-0000-000088000000}"/>
    <cellStyle name="čárky 7" xfId="170" xr:uid="{00000000-0005-0000-0000-000089000000}"/>
    <cellStyle name="čárky 8" xfId="171" xr:uid="{00000000-0005-0000-0000-00008A000000}"/>
    <cellStyle name="čárky 9" xfId="172" xr:uid="{00000000-0005-0000-0000-00008B000000}"/>
    <cellStyle name="Chybně 2" xfId="173" xr:uid="{00000000-0005-0000-0000-00008C000000}"/>
    <cellStyle name="Chybně 2 2" xfId="174" xr:uid="{00000000-0005-0000-0000-00008D000000}"/>
    <cellStyle name="Chybně 2 3" xfId="175" xr:uid="{00000000-0005-0000-0000-00008E000000}"/>
    <cellStyle name="Chybně 2 4" xfId="176" xr:uid="{00000000-0005-0000-0000-00008F000000}"/>
    <cellStyle name="Chybně 2 5" xfId="177" xr:uid="{00000000-0005-0000-0000-000090000000}"/>
    <cellStyle name="Chybně 2 6" xfId="178" xr:uid="{00000000-0005-0000-0000-000091000000}"/>
    <cellStyle name="Kontrolní buňka 2" xfId="179" xr:uid="{00000000-0005-0000-0000-000092000000}"/>
    <cellStyle name="Kontrolní buňka 2 2" xfId="180" xr:uid="{00000000-0005-0000-0000-000093000000}"/>
    <cellStyle name="Kontrolní buňka 2 3" xfId="181" xr:uid="{00000000-0005-0000-0000-000094000000}"/>
    <cellStyle name="Kontrolní buňka 2 4" xfId="182" xr:uid="{00000000-0005-0000-0000-000095000000}"/>
    <cellStyle name="Kontrolní buňka 2 5" xfId="183" xr:uid="{00000000-0005-0000-0000-000096000000}"/>
    <cellStyle name="Kontrolní buňka 2 6" xfId="184" xr:uid="{00000000-0005-0000-0000-000097000000}"/>
    <cellStyle name="Měna 2" xfId="339" xr:uid="{00000000-0005-0000-0000-000098000000}"/>
    <cellStyle name="Nadpis 1 2" xfId="185" xr:uid="{00000000-0005-0000-0000-000099000000}"/>
    <cellStyle name="Nadpis 1 2 2" xfId="186" xr:uid="{00000000-0005-0000-0000-00009A000000}"/>
    <cellStyle name="Nadpis 1 2 3" xfId="187" xr:uid="{00000000-0005-0000-0000-00009B000000}"/>
    <cellStyle name="Nadpis 1 2 4" xfId="188" xr:uid="{00000000-0005-0000-0000-00009C000000}"/>
    <cellStyle name="Nadpis 1 2 5" xfId="189" xr:uid="{00000000-0005-0000-0000-00009D000000}"/>
    <cellStyle name="Nadpis 1 2 6" xfId="190" xr:uid="{00000000-0005-0000-0000-00009E000000}"/>
    <cellStyle name="Nadpis 1 3" xfId="338" xr:uid="{00000000-0005-0000-0000-00009F000000}"/>
    <cellStyle name="Nadpis 2 2" xfId="191" xr:uid="{00000000-0005-0000-0000-0000A0000000}"/>
    <cellStyle name="Nadpis 2 2 2" xfId="192" xr:uid="{00000000-0005-0000-0000-0000A1000000}"/>
    <cellStyle name="Nadpis 2 2 3" xfId="193" xr:uid="{00000000-0005-0000-0000-0000A2000000}"/>
    <cellStyle name="Nadpis 2 2 4" xfId="194" xr:uid="{00000000-0005-0000-0000-0000A3000000}"/>
    <cellStyle name="Nadpis 2 2 5" xfId="195" xr:uid="{00000000-0005-0000-0000-0000A4000000}"/>
    <cellStyle name="Nadpis 2 2 6" xfId="196" xr:uid="{00000000-0005-0000-0000-0000A5000000}"/>
    <cellStyle name="Nadpis 3 2" xfId="197" xr:uid="{00000000-0005-0000-0000-0000A6000000}"/>
    <cellStyle name="Nadpis 3 2 2" xfId="198" xr:uid="{00000000-0005-0000-0000-0000A7000000}"/>
    <cellStyle name="Nadpis 3 2 3" xfId="199" xr:uid="{00000000-0005-0000-0000-0000A8000000}"/>
    <cellStyle name="Nadpis 3 2 4" xfId="200" xr:uid="{00000000-0005-0000-0000-0000A9000000}"/>
    <cellStyle name="Nadpis 3 2 5" xfId="201" xr:uid="{00000000-0005-0000-0000-0000AA000000}"/>
    <cellStyle name="Nadpis 3 2 6" xfId="202" xr:uid="{00000000-0005-0000-0000-0000AB000000}"/>
    <cellStyle name="Nadpis 4 2" xfId="203" xr:uid="{00000000-0005-0000-0000-0000AC000000}"/>
    <cellStyle name="Nadpis 4 2 2" xfId="204" xr:uid="{00000000-0005-0000-0000-0000AD000000}"/>
    <cellStyle name="Nadpis 4 2 3" xfId="205" xr:uid="{00000000-0005-0000-0000-0000AE000000}"/>
    <cellStyle name="Nadpis 4 2 4" xfId="206" xr:uid="{00000000-0005-0000-0000-0000AF000000}"/>
    <cellStyle name="Nadpis 4 2 5" xfId="207" xr:uid="{00000000-0005-0000-0000-0000B0000000}"/>
    <cellStyle name="Nadpis 4 2 6" xfId="208" xr:uid="{00000000-0005-0000-0000-0000B1000000}"/>
    <cellStyle name="Název 2" xfId="209" xr:uid="{00000000-0005-0000-0000-0000B2000000}"/>
    <cellStyle name="Název 2 2" xfId="210" xr:uid="{00000000-0005-0000-0000-0000B3000000}"/>
    <cellStyle name="Název 2 3" xfId="211" xr:uid="{00000000-0005-0000-0000-0000B4000000}"/>
    <cellStyle name="Název 2 4" xfId="212" xr:uid="{00000000-0005-0000-0000-0000B5000000}"/>
    <cellStyle name="Název 2 5" xfId="213" xr:uid="{00000000-0005-0000-0000-0000B6000000}"/>
    <cellStyle name="Název 2 6" xfId="214" xr:uid="{00000000-0005-0000-0000-0000B7000000}"/>
    <cellStyle name="Název 3" xfId="337" xr:uid="{00000000-0005-0000-0000-0000B8000000}"/>
    <cellStyle name="Neutrální 2" xfId="215" xr:uid="{00000000-0005-0000-0000-0000B9000000}"/>
    <cellStyle name="Neutrální 2 2" xfId="216" xr:uid="{00000000-0005-0000-0000-0000BA000000}"/>
    <cellStyle name="Neutrální 2 3" xfId="217" xr:uid="{00000000-0005-0000-0000-0000BB000000}"/>
    <cellStyle name="Neutrální 2 4" xfId="218" xr:uid="{00000000-0005-0000-0000-0000BC000000}"/>
    <cellStyle name="Neutrální 2 5" xfId="219" xr:uid="{00000000-0005-0000-0000-0000BD000000}"/>
    <cellStyle name="Neutrální 2 6" xfId="220" xr:uid="{00000000-0005-0000-0000-0000BE000000}"/>
    <cellStyle name="Normal_Aktivita 1 vodovod Kotesova 2004-05-25" xfId="9" xr:uid="{00000000-0005-0000-0000-0000BF000000}"/>
    <cellStyle name="Normální" xfId="0" builtinId="0"/>
    <cellStyle name="Normální 10" xfId="10" xr:uid="{00000000-0005-0000-0000-0000C1000000}"/>
    <cellStyle name="Normální 10 2" xfId="333" xr:uid="{00000000-0005-0000-0000-0000C2000000}"/>
    <cellStyle name="Normální 10 3" xfId="341" xr:uid="{00000000-0005-0000-0000-0000C3000000}"/>
    <cellStyle name="Normální 11" xfId="11" xr:uid="{00000000-0005-0000-0000-0000C4000000}"/>
    <cellStyle name="Normální 12" xfId="12" xr:uid="{00000000-0005-0000-0000-0000C5000000}"/>
    <cellStyle name="Normální 12 2" xfId="335" xr:uid="{00000000-0005-0000-0000-0000C6000000}"/>
    <cellStyle name="Normální 13" xfId="221" xr:uid="{00000000-0005-0000-0000-0000C7000000}"/>
    <cellStyle name="Normální 14" xfId="222" xr:uid="{00000000-0005-0000-0000-0000C8000000}"/>
    <cellStyle name="Normální 15" xfId="336" xr:uid="{00000000-0005-0000-0000-0000C9000000}"/>
    <cellStyle name="normální 17" xfId="223" xr:uid="{00000000-0005-0000-0000-0000CA000000}"/>
    <cellStyle name="normální 17 2" xfId="224" xr:uid="{00000000-0005-0000-0000-0000CB000000}"/>
    <cellStyle name="normální 17 3" xfId="225" xr:uid="{00000000-0005-0000-0000-0000CC000000}"/>
    <cellStyle name="Normální 18" xfId="40" xr:uid="{00000000-0005-0000-0000-0000CD000000}"/>
    <cellStyle name="Normální 2" xfId="13" xr:uid="{00000000-0005-0000-0000-0000CE000000}"/>
    <cellStyle name="normální 2 2" xfId="14" xr:uid="{00000000-0005-0000-0000-0000CF000000}"/>
    <cellStyle name="normální 2 2 2" xfId="15" xr:uid="{00000000-0005-0000-0000-0000D0000000}"/>
    <cellStyle name="normální 2 26" xfId="226" xr:uid="{00000000-0005-0000-0000-0000D1000000}"/>
    <cellStyle name="normální 2 26 2" xfId="227" xr:uid="{00000000-0005-0000-0000-0000D2000000}"/>
    <cellStyle name="normální 2 3" xfId="16" xr:uid="{00000000-0005-0000-0000-0000D3000000}"/>
    <cellStyle name="Normální 2 4" xfId="17" xr:uid="{00000000-0005-0000-0000-0000D4000000}"/>
    <cellStyle name="Normální 2 5" xfId="18" xr:uid="{00000000-0005-0000-0000-0000D5000000}"/>
    <cellStyle name="Normální 2 6" xfId="19" xr:uid="{00000000-0005-0000-0000-0000D6000000}"/>
    <cellStyle name="normální 2_OD-vykony_Zausteni_IV_TZK" xfId="228" xr:uid="{00000000-0005-0000-0000-0000D7000000}"/>
    <cellStyle name="normální 22" xfId="20" xr:uid="{00000000-0005-0000-0000-0000D8000000}"/>
    <cellStyle name="normální 3" xfId="21" xr:uid="{00000000-0005-0000-0000-0000D9000000}"/>
    <cellStyle name="normální 3 2" xfId="22" xr:uid="{00000000-0005-0000-0000-0000DA000000}"/>
    <cellStyle name="normální 3 2 2" xfId="229" xr:uid="{00000000-0005-0000-0000-0000DB000000}"/>
    <cellStyle name="normální 3 3" xfId="230" xr:uid="{00000000-0005-0000-0000-0000DC000000}"/>
    <cellStyle name="normální 3 3 2" xfId="231" xr:uid="{00000000-0005-0000-0000-0000DD000000}"/>
    <cellStyle name="normální 3 3 3" xfId="232" xr:uid="{00000000-0005-0000-0000-0000DE000000}"/>
    <cellStyle name="normální 3 4" xfId="233" xr:uid="{00000000-0005-0000-0000-0000DF000000}"/>
    <cellStyle name="normální 3_Priloha_01_prac" xfId="23" xr:uid="{00000000-0005-0000-0000-0000E0000000}"/>
    <cellStyle name="normální 4" xfId="24" xr:uid="{00000000-0005-0000-0000-0000E1000000}"/>
    <cellStyle name="normální 4 2" xfId="25" xr:uid="{00000000-0005-0000-0000-0000E2000000}"/>
    <cellStyle name="Normální 4 3" xfId="26" xr:uid="{00000000-0005-0000-0000-0000E3000000}"/>
    <cellStyle name="normální 5" xfId="27" xr:uid="{00000000-0005-0000-0000-0000E4000000}"/>
    <cellStyle name="Normální 5 2" xfId="234" xr:uid="{00000000-0005-0000-0000-0000E5000000}"/>
    <cellStyle name="normální 6" xfId="28" xr:uid="{00000000-0005-0000-0000-0000E6000000}"/>
    <cellStyle name="Normální 6 2" xfId="235" xr:uid="{00000000-0005-0000-0000-0000E7000000}"/>
    <cellStyle name="normální 7" xfId="29" xr:uid="{00000000-0005-0000-0000-0000E8000000}"/>
    <cellStyle name="Normální 7 2" xfId="236" xr:uid="{00000000-0005-0000-0000-0000E9000000}"/>
    <cellStyle name="normální 7 3" xfId="237" xr:uid="{00000000-0005-0000-0000-0000EA000000}"/>
    <cellStyle name="Normální 7 4" xfId="332" xr:uid="{00000000-0005-0000-0000-0000EB000000}"/>
    <cellStyle name="normální 8" xfId="30" xr:uid="{00000000-0005-0000-0000-0000EC000000}"/>
    <cellStyle name="Normální 8 2" xfId="238" xr:uid="{00000000-0005-0000-0000-0000ED000000}"/>
    <cellStyle name="Normální 9" xfId="31" xr:uid="{00000000-0005-0000-0000-0000EE000000}"/>
    <cellStyle name="normální_!výpočty_-_HosPa_final_11_05_09" xfId="32" xr:uid="{00000000-0005-0000-0000-0000EF000000}"/>
    <cellStyle name="Poznámka 2" xfId="239" xr:uid="{00000000-0005-0000-0000-0000F0000000}"/>
    <cellStyle name="Poznámka 2 2" xfId="240" xr:uid="{00000000-0005-0000-0000-0000F1000000}"/>
    <cellStyle name="Poznámka 2 3" xfId="241" xr:uid="{00000000-0005-0000-0000-0000F2000000}"/>
    <cellStyle name="Poznámka 2 4" xfId="242" xr:uid="{00000000-0005-0000-0000-0000F3000000}"/>
    <cellStyle name="Poznámka 2 5" xfId="243" xr:uid="{00000000-0005-0000-0000-0000F4000000}"/>
    <cellStyle name="Poznámka 2 6" xfId="244" xr:uid="{00000000-0005-0000-0000-0000F5000000}"/>
    <cellStyle name="procent 2" xfId="33" xr:uid="{00000000-0005-0000-0000-0000F6000000}"/>
    <cellStyle name="procent 2 2" xfId="245" xr:uid="{00000000-0005-0000-0000-0000F7000000}"/>
    <cellStyle name="procent 2 3" xfId="246" xr:uid="{00000000-0005-0000-0000-0000F8000000}"/>
    <cellStyle name="procent 3" xfId="34" xr:uid="{00000000-0005-0000-0000-0000F9000000}"/>
    <cellStyle name="procent 3 2" xfId="35" xr:uid="{00000000-0005-0000-0000-0000FA000000}"/>
    <cellStyle name="procent 3 3" xfId="247" xr:uid="{00000000-0005-0000-0000-0000FB000000}"/>
    <cellStyle name="procent 3 4" xfId="248" xr:uid="{00000000-0005-0000-0000-0000FC000000}"/>
    <cellStyle name="procent 4" xfId="249" xr:uid="{00000000-0005-0000-0000-0000FD000000}"/>
    <cellStyle name="procent 4 2" xfId="250" xr:uid="{00000000-0005-0000-0000-0000FE000000}"/>
    <cellStyle name="procent 5" xfId="251" xr:uid="{00000000-0005-0000-0000-0000FF000000}"/>
    <cellStyle name="procent 6" xfId="252" xr:uid="{00000000-0005-0000-0000-000000010000}"/>
    <cellStyle name="Procenta" xfId="36" builtinId="5"/>
    <cellStyle name="Procenta 2" xfId="37" xr:uid="{00000000-0005-0000-0000-000002010000}"/>
    <cellStyle name="Procenta 2 2" xfId="334" xr:uid="{00000000-0005-0000-0000-000003010000}"/>
    <cellStyle name="Procenta 3" xfId="38" xr:uid="{00000000-0005-0000-0000-000004010000}"/>
    <cellStyle name="Procenta 4" xfId="253" xr:uid="{00000000-0005-0000-0000-000005010000}"/>
    <cellStyle name="Procenta 5" xfId="340" xr:uid="{00000000-0005-0000-0000-000006010000}"/>
    <cellStyle name="Propojená buňka 2" xfId="254" xr:uid="{00000000-0005-0000-0000-000007010000}"/>
    <cellStyle name="Propojená buňka 2 2" xfId="255" xr:uid="{00000000-0005-0000-0000-000008010000}"/>
    <cellStyle name="Propojená buňka 2 3" xfId="256" xr:uid="{00000000-0005-0000-0000-000009010000}"/>
    <cellStyle name="Propojená buňka 2 4" xfId="257" xr:uid="{00000000-0005-0000-0000-00000A010000}"/>
    <cellStyle name="Propojená buňka 2 5" xfId="258" xr:uid="{00000000-0005-0000-0000-00000B010000}"/>
    <cellStyle name="Propojená buňka 2 6" xfId="259" xr:uid="{00000000-0005-0000-0000-00000C010000}"/>
    <cellStyle name="Správně 2" xfId="260" xr:uid="{00000000-0005-0000-0000-00000D010000}"/>
    <cellStyle name="Správně 2 2" xfId="261" xr:uid="{00000000-0005-0000-0000-00000E010000}"/>
    <cellStyle name="Správně 2 3" xfId="262" xr:uid="{00000000-0005-0000-0000-00000F010000}"/>
    <cellStyle name="Správně 2 4" xfId="263" xr:uid="{00000000-0005-0000-0000-000010010000}"/>
    <cellStyle name="Správně 2 5" xfId="264" xr:uid="{00000000-0005-0000-0000-000011010000}"/>
    <cellStyle name="Správně 2 6" xfId="265" xr:uid="{00000000-0005-0000-0000-000012010000}"/>
    <cellStyle name="Text upozornění 2" xfId="266" xr:uid="{00000000-0005-0000-0000-000013010000}"/>
    <cellStyle name="Text upozornění 2 2" xfId="267" xr:uid="{00000000-0005-0000-0000-000014010000}"/>
    <cellStyle name="Text upozornění 2 3" xfId="268" xr:uid="{00000000-0005-0000-0000-000015010000}"/>
    <cellStyle name="Text upozornění 2 4" xfId="269" xr:uid="{00000000-0005-0000-0000-000016010000}"/>
    <cellStyle name="Text upozornění 2 5" xfId="270" xr:uid="{00000000-0005-0000-0000-000017010000}"/>
    <cellStyle name="Text upozornění 2 6" xfId="271" xr:uid="{00000000-0005-0000-0000-000018010000}"/>
    <cellStyle name="Vstup 2" xfId="272" xr:uid="{00000000-0005-0000-0000-000019010000}"/>
    <cellStyle name="Vstup 2 2" xfId="273" xr:uid="{00000000-0005-0000-0000-00001A010000}"/>
    <cellStyle name="Vstup 2 3" xfId="274" xr:uid="{00000000-0005-0000-0000-00001B010000}"/>
    <cellStyle name="Vstup 2 4" xfId="275" xr:uid="{00000000-0005-0000-0000-00001C010000}"/>
    <cellStyle name="Vstup 2 5" xfId="276" xr:uid="{00000000-0005-0000-0000-00001D010000}"/>
    <cellStyle name="Vstup 2 6" xfId="277" xr:uid="{00000000-0005-0000-0000-00001E010000}"/>
    <cellStyle name="Výpočet 2" xfId="278" xr:uid="{00000000-0005-0000-0000-00001F010000}"/>
    <cellStyle name="Výpočet 2 2" xfId="279" xr:uid="{00000000-0005-0000-0000-000020010000}"/>
    <cellStyle name="Výpočet 2 3" xfId="280" xr:uid="{00000000-0005-0000-0000-000021010000}"/>
    <cellStyle name="Výpočet 2 4" xfId="281" xr:uid="{00000000-0005-0000-0000-000022010000}"/>
    <cellStyle name="Výpočet 2 5" xfId="282" xr:uid="{00000000-0005-0000-0000-000023010000}"/>
    <cellStyle name="Výpočet 2 6" xfId="283" xr:uid="{00000000-0005-0000-0000-000024010000}"/>
    <cellStyle name="Výstup 2" xfId="284" xr:uid="{00000000-0005-0000-0000-000025010000}"/>
    <cellStyle name="Výstup 2 2" xfId="285" xr:uid="{00000000-0005-0000-0000-000026010000}"/>
    <cellStyle name="Výstup 2 3" xfId="286" xr:uid="{00000000-0005-0000-0000-000027010000}"/>
    <cellStyle name="Výstup 2 4" xfId="287" xr:uid="{00000000-0005-0000-0000-000028010000}"/>
    <cellStyle name="Výstup 2 5" xfId="288" xr:uid="{00000000-0005-0000-0000-000029010000}"/>
    <cellStyle name="Výstup 2 6" xfId="289" xr:uid="{00000000-0005-0000-0000-00002A010000}"/>
    <cellStyle name="Vysvětlující text 2" xfId="290" xr:uid="{00000000-0005-0000-0000-00002B010000}"/>
    <cellStyle name="Vysvětlující text 2 2" xfId="291" xr:uid="{00000000-0005-0000-0000-00002C010000}"/>
    <cellStyle name="Vysvětlující text 2 3" xfId="292" xr:uid="{00000000-0005-0000-0000-00002D010000}"/>
    <cellStyle name="Vysvětlující text 2 4" xfId="293" xr:uid="{00000000-0005-0000-0000-00002E010000}"/>
    <cellStyle name="Vysvětlující text 2 5" xfId="294" xr:uid="{00000000-0005-0000-0000-00002F010000}"/>
    <cellStyle name="Vysvětlující text 2 6" xfId="295" xr:uid="{00000000-0005-0000-0000-000030010000}"/>
    <cellStyle name="Zadano" xfId="39" xr:uid="{00000000-0005-0000-0000-000031010000}"/>
    <cellStyle name="Zvýraznění 1 2" xfId="296" xr:uid="{00000000-0005-0000-0000-000032010000}"/>
    <cellStyle name="Zvýraznění 1 2 2" xfId="297" xr:uid="{00000000-0005-0000-0000-000033010000}"/>
    <cellStyle name="Zvýraznění 1 2 3" xfId="298" xr:uid="{00000000-0005-0000-0000-000034010000}"/>
    <cellStyle name="Zvýraznění 1 2 4" xfId="299" xr:uid="{00000000-0005-0000-0000-000035010000}"/>
    <cellStyle name="Zvýraznění 1 2 5" xfId="300" xr:uid="{00000000-0005-0000-0000-000036010000}"/>
    <cellStyle name="Zvýraznění 1 2 6" xfId="301" xr:uid="{00000000-0005-0000-0000-000037010000}"/>
    <cellStyle name="Zvýraznění 2 2" xfId="302" xr:uid="{00000000-0005-0000-0000-000038010000}"/>
    <cellStyle name="Zvýraznění 2 2 2" xfId="303" xr:uid="{00000000-0005-0000-0000-000039010000}"/>
    <cellStyle name="Zvýraznění 2 2 3" xfId="304" xr:uid="{00000000-0005-0000-0000-00003A010000}"/>
    <cellStyle name="Zvýraznění 2 2 4" xfId="305" xr:uid="{00000000-0005-0000-0000-00003B010000}"/>
    <cellStyle name="Zvýraznění 2 2 5" xfId="306" xr:uid="{00000000-0005-0000-0000-00003C010000}"/>
    <cellStyle name="Zvýraznění 2 2 6" xfId="307" xr:uid="{00000000-0005-0000-0000-00003D010000}"/>
    <cellStyle name="Zvýraznění 3 2" xfId="308" xr:uid="{00000000-0005-0000-0000-00003E010000}"/>
    <cellStyle name="Zvýraznění 3 2 2" xfId="309" xr:uid="{00000000-0005-0000-0000-00003F010000}"/>
    <cellStyle name="Zvýraznění 3 2 3" xfId="310" xr:uid="{00000000-0005-0000-0000-000040010000}"/>
    <cellStyle name="Zvýraznění 3 2 4" xfId="311" xr:uid="{00000000-0005-0000-0000-000041010000}"/>
    <cellStyle name="Zvýraznění 3 2 5" xfId="312" xr:uid="{00000000-0005-0000-0000-000042010000}"/>
    <cellStyle name="Zvýraznění 3 2 6" xfId="313" xr:uid="{00000000-0005-0000-0000-000043010000}"/>
    <cellStyle name="Zvýraznění 4 2" xfId="314" xr:uid="{00000000-0005-0000-0000-000044010000}"/>
    <cellStyle name="Zvýraznění 4 2 2" xfId="315" xr:uid="{00000000-0005-0000-0000-000045010000}"/>
    <cellStyle name="Zvýraznění 4 2 3" xfId="316" xr:uid="{00000000-0005-0000-0000-000046010000}"/>
    <cellStyle name="Zvýraznění 4 2 4" xfId="317" xr:uid="{00000000-0005-0000-0000-000047010000}"/>
    <cellStyle name="Zvýraznění 4 2 5" xfId="318" xr:uid="{00000000-0005-0000-0000-000048010000}"/>
    <cellStyle name="Zvýraznění 4 2 6" xfId="319" xr:uid="{00000000-0005-0000-0000-000049010000}"/>
    <cellStyle name="Zvýraznění 5 2" xfId="320" xr:uid="{00000000-0005-0000-0000-00004A010000}"/>
    <cellStyle name="Zvýraznění 5 2 2" xfId="321" xr:uid="{00000000-0005-0000-0000-00004B010000}"/>
    <cellStyle name="Zvýraznění 5 2 3" xfId="322" xr:uid="{00000000-0005-0000-0000-00004C010000}"/>
    <cellStyle name="Zvýraznění 5 2 4" xfId="323" xr:uid="{00000000-0005-0000-0000-00004D010000}"/>
    <cellStyle name="Zvýraznění 5 2 5" xfId="324" xr:uid="{00000000-0005-0000-0000-00004E010000}"/>
    <cellStyle name="Zvýraznění 5 2 6" xfId="325" xr:uid="{00000000-0005-0000-0000-00004F010000}"/>
    <cellStyle name="Zvýraznění 6 2" xfId="326" xr:uid="{00000000-0005-0000-0000-000050010000}"/>
    <cellStyle name="Zvýraznění 6 2 2" xfId="327" xr:uid="{00000000-0005-0000-0000-000051010000}"/>
    <cellStyle name="Zvýraznění 6 2 3" xfId="328" xr:uid="{00000000-0005-0000-0000-000052010000}"/>
    <cellStyle name="Zvýraznění 6 2 4" xfId="329" xr:uid="{00000000-0005-0000-0000-000053010000}"/>
    <cellStyle name="Zvýraznění 6 2 5" xfId="330" xr:uid="{00000000-0005-0000-0000-000054010000}"/>
    <cellStyle name="Zvýraznění 6 2 6" xfId="331" xr:uid="{00000000-0005-0000-0000-000055010000}"/>
  </cellStyles>
  <dxfs count="24">
    <dxf>
      <font>
        <condense val="0"/>
        <extend val="0"/>
        <color indexed="10"/>
      </font>
    </dxf>
    <dxf>
      <font>
        <condense val="0"/>
        <extend val="0"/>
        <color indexed="48"/>
      </font>
      <fill>
        <patternFill patternType="none">
          <bgColor indexed="65"/>
        </patternFill>
      </fill>
    </dxf>
    <dxf>
      <font>
        <condense val="0"/>
        <extend val="0"/>
        <color indexed="10"/>
      </font>
    </dxf>
    <dxf>
      <font>
        <condense val="0"/>
        <extend val="0"/>
        <color indexed="14"/>
      </font>
    </dxf>
    <dxf>
      <font>
        <condense val="0"/>
        <extend val="0"/>
        <color indexed="10"/>
      </font>
    </dxf>
    <dxf>
      <font>
        <condense val="0"/>
        <extend val="0"/>
        <color indexed="10"/>
      </font>
    </dxf>
    <dxf>
      <font>
        <condense val="0"/>
        <extend val="0"/>
        <color indexed="48"/>
      </font>
      <fill>
        <patternFill patternType="none">
          <bgColor indexed="65"/>
        </patternFill>
      </fill>
    </dxf>
    <dxf>
      <font>
        <condense val="0"/>
        <extend val="0"/>
        <color indexed="14"/>
      </font>
    </dxf>
    <dxf>
      <font>
        <condense val="0"/>
        <extend val="0"/>
        <color indexed="10"/>
      </font>
    </dxf>
    <dxf>
      <border>
        <left/>
        <right style="dotted">
          <color theme="4" tint="0.39994506668294322"/>
        </right>
        <top style="thin">
          <color theme="4" tint="0.39994506668294322"/>
        </top>
        <bottom style="thin">
          <color theme="4" tint="0.39994506668294322"/>
        </bottom>
        <vertical style="dotted">
          <color theme="4" tint="0.39994506668294322"/>
        </vertical>
        <horizontal style="thin">
          <color theme="4" tint="0.39994506668294322"/>
        </horizontal>
      </border>
    </dxf>
    <dxf>
      <border>
        <left/>
        <right style="dotted">
          <color theme="4" tint="0.39994506668294322"/>
        </right>
        <top style="thin">
          <color theme="4" tint="0.39994506668294322"/>
        </top>
        <bottom style="thin">
          <color theme="4" tint="0.39994506668294322"/>
        </bottom>
        <vertical style="dotted">
          <color theme="4"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5" tint="0.39991454817346722"/>
        </right>
        <top style="thin">
          <color theme="5" tint="0.39994506668294322"/>
        </top>
        <bottom style="thin">
          <color theme="5" tint="0.39994506668294322"/>
        </bottom>
        <vertical style="dotted">
          <color theme="5" tint="0.39994506668294322"/>
        </vertical>
        <horizontal style="thin">
          <color theme="5" tint="0.39994506668294322"/>
        </horizontal>
      </border>
    </dxf>
    <dxf>
      <border>
        <left/>
        <right style="dotted">
          <color theme="5" tint="0.39991454817346722"/>
        </right>
        <top style="thin">
          <color theme="5" tint="0.39994506668294322"/>
        </top>
        <bottom style="thin">
          <color theme="5" tint="0.39994506668294322"/>
        </bottom>
        <vertical style="dotted">
          <color theme="5" tint="0.399914548173467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style="thin">
          <color theme="6" tint="0.39994506668294322"/>
        </horizontal>
      </border>
    </dxf>
    <dxf>
      <border>
        <left/>
        <right style="dotted">
          <color theme="6" tint="0.39994506668294322"/>
        </right>
        <top style="thin">
          <color theme="6" tint="0.39994506668294322"/>
        </top>
        <bottom style="thin">
          <color theme="6" tint="0.39994506668294322"/>
        </bottom>
        <vertical style="dotted">
          <color theme="6" tint="0.39994506668294322"/>
        </vertical>
        <horizontal/>
      </border>
    </dxf>
    <dxf>
      <font>
        <b/>
        <i val="0"/>
        <color theme="3"/>
      </font>
      <fill>
        <patternFill patternType="none">
          <bgColor auto="1"/>
        </patternFill>
      </fill>
      <border>
        <vertical/>
        <horizontal/>
      </border>
    </dxf>
    <dxf>
      <font>
        <b/>
        <i val="0"/>
        <color theme="3"/>
      </font>
      <fill>
        <patternFill patternType="none">
          <bgColor auto="1"/>
        </patternFill>
      </fill>
      <border diagonalUp="0" diagonalDown="0">
        <left/>
        <right/>
        <top/>
        <bottom/>
        <vertical/>
        <horizontal/>
      </border>
    </dxf>
    <dxf>
      <border>
        <vertical/>
        <horizontal/>
      </border>
    </dxf>
  </dxfs>
  <tableStyles count="3" defaultTableStyle="TableStyleMedium9" defaultPivotStyle="PivotStyleLight16">
    <tableStyle name="Profit &amp; Loss Expenses" pivot="0" count="5" xr9:uid="{00000000-0011-0000-FFFF-FFFF00000000}">
      <tableStyleElement type="wholeTable" dxfId="23"/>
      <tableStyleElement type="headerRow" dxfId="22"/>
      <tableStyleElement type="totalRow" dxfId="21"/>
      <tableStyleElement type="firstRowStripe" dxfId="20"/>
      <tableStyleElement type="secondRowStripe" dxfId="19"/>
    </tableStyle>
    <tableStyle name="Profit &amp; Loss Revenue" pivot="0" count="5" xr9:uid="{00000000-0011-0000-FFFF-FFFF01000000}">
      <tableStyleElement type="wholeTable" dxfId="18"/>
      <tableStyleElement type="headerRow" dxfId="17"/>
      <tableStyleElement type="totalRow" dxfId="16"/>
      <tableStyleElement type="firstRowStripe" dxfId="15"/>
      <tableStyleElement type="secondRowStripe" dxfId="14"/>
    </tableStyle>
    <tableStyle name="Profit &amp; Loss Sales" pivot="0" count="5" xr9:uid="{00000000-0011-0000-FFFF-FFFF02000000}">
      <tableStyleElement type="wholeTable" dxfId="13"/>
      <tableStyleElement type="headerRow" dxfId="12"/>
      <tableStyleElement type="totalRow" dxfId="11"/>
      <tableStyleElement type="firstRowStripe" dxfId="10"/>
      <tableStyleElement type="second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9B"/>
      <color rgb="FFC0C0C0"/>
      <color rgb="FFA4D76B"/>
      <color rgb="FFCCFFFF"/>
      <color rgb="FFB4DE86"/>
      <color rgb="FF66CCFF"/>
      <color rgb="FF6699FF"/>
      <color rgb="FF6DB1FB"/>
      <color rgb="FF379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Pracovn&#237;\Rezortn&#237;%20metodika\D\CBA%20tabulky\p&#345;&#237;klady\I11%20&#268;astolovice%20-%20Kostelec\Souhrn%20finan&#269;n&#237;ch%20tok&#367;%202016%20var.%20Z&#225;kladn&#23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pro vložení dat"/>
      <sheetName val="zbytková hodnota"/>
      <sheetName val="Celkov souhrn toku nediskont"/>
      <sheetName val="Celkov souhrn fin toku diskont"/>
      <sheetName val="Souhrn fin toku disk Exnad"/>
      <sheetName val="citlivostní analýza"/>
      <sheetName val="citlivostní analýza - uživatel"/>
      <sheetName val="List1"/>
    </sheetNames>
    <sheetDataSet>
      <sheetData sheetId="0" refreshError="1"/>
      <sheetData sheetId="1">
        <row r="13">
          <cell r="F13">
            <v>45</v>
          </cell>
        </row>
      </sheetData>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P79"/>
  <sheetViews>
    <sheetView tabSelected="1" defaultGridColor="0" colorId="23" zoomScale="80" zoomScaleNormal="80" zoomScaleSheetLayoutView="70" workbookViewId="0"/>
  </sheetViews>
  <sheetFormatPr defaultColWidth="11.42578125" defaultRowHeight="13.5" x14ac:dyDescent="0.25"/>
  <cols>
    <col min="1" max="1" width="2.7109375" style="97" customWidth="1"/>
    <col min="2" max="2" width="13.42578125" style="97" customWidth="1"/>
    <col min="3" max="14" width="14.7109375" style="97" customWidth="1"/>
    <col min="15" max="15" width="10.28515625" style="97" customWidth="1"/>
    <col min="16" max="16" width="11.42578125" style="97"/>
    <col min="17" max="17" width="24.28515625" style="97" customWidth="1"/>
    <col min="18" max="16384" width="11.42578125" style="97"/>
  </cols>
  <sheetData>
    <row r="1" spans="2:15" ht="14.25" thickBot="1" x14ac:dyDescent="0.3"/>
    <row r="2" spans="2:15" x14ac:dyDescent="0.25">
      <c r="B2" s="108"/>
      <c r="C2" s="109"/>
      <c r="D2" s="109"/>
      <c r="E2" s="109"/>
      <c r="F2" s="109"/>
      <c r="G2" s="109"/>
      <c r="H2" s="109"/>
      <c r="I2" s="109"/>
      <c r="J2" s="109"/>
      <c r="K2" s="109"/>
      <c r="L2" s="109"/>
      <c r="M2" s="109"/>
      <c r="N2" s="109"/>
      <c r="O2" s="110"/>
    </row>
    <row r="3" spans="2:15" x14ac:dyDescent="0.25">
      <c r="B3" s="111"/>
      <c r="C3" s="477" t="str">
        <f>IF($M$10="English",Slovnik!$D$5,Slovnik!$C$5)</f>
        <v>Úvod</v>
      </c>
      <c r="D3" s="478"/>
      <c r="E3" s="478"/>
      <c r="F3" s="478"/>
      <c r="G3" s="478"/>
      <c r="H3" s="478"/>
      <c r="I3" s="478"/>
      <c r="J3" s="478"/>
      <c r="K3" s="478"/>
      <c r="L3" s="478"/>
      <c r="M3" s="478"/>
      <c r="N3" s="478"/>
      <c r="O3" s="112"/>
    </row>
    <row r="4" spans="2:15" ht="12.75" customHeight="1" x14ac:dyDescent="0.25">
      <c r="B4" s="111"/>
      <c r="C4" s="2238" t="str">
        <f>IF($M$10="English",Slovnik!$E$6,Slovnik!$E$5)</f>
        <v>Tento jednoduchý finanční model je součástí Rezortní metodiky pro hodnocení ekonomické efektivnosti projektů dopravních staveb (MD ČR, 2017) a slouží pro zpracování a prezentaci výstupů ekonomického hodnocení českých dopravních infrastrukturních projektů. Model je založen na analýze výnosů a nákladů a je plně v souladu s Nařízením komise (EU) 2015/207.
Na základě původního vzoru DG REGIO/F.2 zpracoval SUDOP PRAHA a.s.</v>
      </c>
      <c r="D4" s="2238"/>
      <c r="E4" s="2238"/>
      <c r="F4" s="2238"/>
      <c r="G4" s="2238"/>
      <c r="H4" s="2238"/>
      <c r="I4" s="2238"/>
      <c r="J4" s="2238"/>
      <c r="K4" s="2238"/>
      <c r="L4" s="2238"/>
      <c r="M4" s="2238"/>
      <c r="N4" s="2238"/>
      <c r="O4" s="112"/>
    </row>
    <row r="5" spans="2:15" ht="12.75" customHeight="1" x14ac:dyDescent="0.25">
      <c r="B5" s="111"/>
      <c r="C5" s="2238"/>
      <c r="D5" s="2238"/>
      <c r="E5" s="2238"/>
      <c r="F5" s="2238"/>
      <c r="G5" s="2238"/>
      <c r="H5" s="2238"/>
      <c r="I5" s="2238"/>
      <c r="J5" s="2238"/>
      <c r="K5" s="2238"/>
      <c r="L5" s="2238"/>
      <c r="M5" s="2238"/>
      <c r="N5" s="2238"/>
      <c r="O5" s="112"/>
    </row>
    <row r="6" spans="2:15" ht="12.75" customHeight="1" x14ac:dyDescent="0.25">
      <c r="B6" s="111"/>
      <c r="C6" s="2238"/>
      <c r="D6" s="2238"/>
      <c r="E6" s="2238"/>
      <c r="F6" s="2238"/>
      <c r="G6" s="2238"/>
      <c r="H6" s="2238"/>
      <c r="I6" s="2238"/>
      <c r="J6" s="2238"/>
      <c r="K6" s="2238"/>
      <c r="L6" s="2238"/>
      <c r="M6" s="2238"/>
      <c r="N6" s="2238"/>
      <c r="O6" s="112"/>
    </row>
    <row r="7" spans="2:15" ht="12.75" customHeight="1" x14ac:dyDescent="0.25">
      <c r="B7" s="111"/>
      <c r="C7" s="2238"/>
      <c r="D7" s="2238"/>
      <c r="E7" s="2238"/>
      <c r="F7" s="2238"/>
      <c r="G7" s="2238"/>
      <c r="H7" s="2238"/>
      <c r="I7" s="2238"/>
      <c r="J7" s="2238"/>
      <c r="K7" s="2238"/>
      <c r="L7" s="2238"/>
      <c r="M7" s="2238"/>
      <c r="N7" s="2238"/>
      <c r="O7" s="112"/>
    </row>
    <row r="8" spans="2:15" ht="12.75" customHeight="1" x14ac:dyDescent="0.25">
      <c r="B8" s="111"/>
      <c r="C8" s="2238"/>
      <c r="D8" s="2238"/>
      <c r="E8" s="2238"/>
      <c r="F8" s="2238"/>
      <c r="G8" s="2238"/>
      <c r="H8" s="2238"/>
      <c r="I8" s="2238"/>
      <c r="J8" s="2238"/>
      <c r="K8" s="2238"/>
      <c r="L8" s="2238"/>
      <c r="M8" s="2238"/>
      <c r="N8" s="2238"/>
      <c r="O8" s="112"/>
    </row>
    <row r="9" spans="2:15" ht="12.75" customHeight="1" thickBot="1" x14ac:dyDescent="0.3">
      <c r="B9" s="111"/>
      <c r="C9" s="2238"/>
      <c r="D9" s="2238"/>
      <c r="E9" s="2238"/>
      <c r="F9" s="2238"/>
      <c r="G9" s="2238"/>
      <c r="H9" s="2238"/>
      <c r="I9" s="2238"/>
      <c r="J9" s="2238"/>
      <c r="K9" s="2238"/>
      <c r="L9" s="2238"/>
      <c r="M9" s="2238"/>
      <c r="N9" s="2238"/>
      <c r="O9" s="112"/>
    </row>
    <row r="10" spans="2:15" ht="12.75" customHeight="1" thickBot="1" x14ac:dyDescent="0.3">
      <c r="B10" s="111"/>
      <c r="C10" s="106"/>
      <c r="D10" s="106"/>
      <c r="E10" s="106"/>
      <c r="F10" s="106"/>
      <c r="G10" s="106"/>
      <c r="H10" s="106"/>
      <c r="I10" s="106"/>
      <c r="J10" s="106"/>
      <c r="K10" s="106"/>
      <c r="L10" s="107" t="str">
        <f>IF($M$10="English",Slovnik!$D$4,Slovnik!$C$4)</f>
        <v>Jazyk</v>
      </c>
      <c r="M10" s="1875" t="s">
        <v>661</v>
      </c>
      <c r="N10" s="107" t="str">
        <f>IF($M$10="English",Slovnik!$D$3,Slovnik!$C$3)</f>
        <v>Verze 1.08</v>
      </c>
      <c r="O10" s="112"/>
    </row>
    <row r="11" spans="2:15" ht="12.75" customHeight="1" thickBot="1" x14ac:dyDescent="0.3">
      <c r="B11" s="113"/>
      <c r="C11" s="114"/>
      <c r="D11" s="114"/>
      <c r="E11" s="114"/>
      <c r="F11" s="114"/>
      <c r="G11" s="114"/>
      <c r="H11" s="114"/>
      <c r="I11" s="114"/>
      <c r="J11" s="114"/>
      <c r="K11" s="114"/>
      <c r="L11" s="114"/>
      <c r="M11" s="114"/>
      <c r="N11" s="114"/>
      <c r="O11" s="115"/>
    </row>
    <row r="12" spans="2:15" ht="12.75" customHeight="1" thickBot="1" x14ac:dyDescent="0.3">
      <c r="B12" s="98"/>
      <c r="C12" s="99"/>
      <c r="D12" s="99"/>
      <c r="E12" s="99"/>
      <c r="F12" s="99"/>
      <c r="G12" s="99"/>
      <c r="H12" s="99"/>
      <c r="I12" s="99"/>
      <c r="J12" s="99"/>
      <c r="K12" s="99"/>
      <c r="L12" s="99"/>
      <c r="M12" s="99"/>
      <c r="N12" s="99"/>
      <c r="O12" s="99"/>
    </row>
    <row r="13" spans="2:15" ht="12.75" customHeight="1" x14ac:dyDescent="0.25">
      <c r="B13" s="108"/>
      <c r="C13" s="109"/>
      <c r="D13" s="109"/>
      <c r="E13" s="109"/>
      <c r="F13" s="109"/>
      <c r="G13" s="109"/>
      <c r="H13" s="109"/>
      <c r="I13" s="109"/>
      <c r="J13" s="109"/>
      <c r="K13" s="109"/>
      <c r="L13" s="109"/>
      <c r="M13" s="109"/>
      <c r="N13" s="109"/>
      <c r="O13" s="110"/>
    </row>
    <row r="14" spans="2:15" ht="12.75" customHeight="1" x14ac:dyDescent="0.25">
      <c r="B14" s="111"/>
      <c r="C14" s="477" t="str">
        <f>IF($M$10="English",Slovnik!$D$6,Slovnik!$C$6)</f>
        <v>Základní informace</v>
      </c>
      <c r="D14" s="478"/>
      <c r="E14" s="478"/>
      <c r="F14" s="478"/>
      <c r="G14" s="478"/>
      <c r="H14" s="478"/>
      <c r="I14" s="478"/>
      <c r="J14" s="478"/>
      <c r="K14" s="478"/>
      <c r="L14" s="478"/>
      <c r="M14" s="478"/>
      <c r="N14" s="478"/>
      <c r="O14" s="112"/>
    </row>
    <row r="15" spans="2:15" ht="12.75" customHeight="1" thickBot="1" x14ac:dyDescent="0.3">
      <c r="B15" s="111"/>
      <c r="C15" s="116"/>
      <c r="D15" s="116"/>
      <c r="E15" s="116"/>
      <c r="F15" s="116"/>
      <c r="G15" s="116"/>
      <c r="H15" s="116"/>
      <c r="I15" s="116"/>
      <c r="J15" s="116"/>
      <c r="K15" s="116"/>
      <c r="L15" s="116"/>
      <c r="M15" s="116"/>
      <c r="N15" s="116"/>
      <c r="O15" s="112"/>
    </row>
    <row r="16" spans="2:15" ht="17.25" customHeight="1" thickBot="1" x14ac:dyDescent="0.3">
      <c r="B16" s="111"/>
      <c r="C16" s="117" t="str">
        <f>IF($M$10="English",Slovnik!$D$7,Slovnik!$C$7)</f>
        <v>Název projektu</v>
      </c>
      <c r="D16" s="2235" t="s">
        <v>1406</v>
      </c>
      <c r="E16" s="2236"/>
      <c r="F16" s="2236"/>
      <c r="G16" s="2236"/>
      <c r="H16" s="2236"/>
      <c r="I16" s="2236"/>
      <c r="J16" s="2236"/>
      <c r="K16" s="2236"/>
      <c r="L16" s="2236"/>
      <c r="M16" s="2236"/>
      <c r="N16" s="2237"/>
      <c r="O16" s="112"/>
    </row>
    <row r="17" spans="2:15" ht="12.75" customHeight="1" thickBot="1" x14ac:dyDescent="0.3">
      <c r="B17" s="111"/>
      <c r="C17" s="116"/>
      <c r="D17" s="116"/>
      <c r="E17" s="116"/>
      <c r="F17" s="116"/>
      <c r="G17" s="116"/>
      <c r="H17" s="116"/>
      <c r="I17" s="116"/>
      <c r="J17" s="116"/>
      <c r="K17" s="116"/>
      <c r="L17" s="116"/>
      <c r="M17" s="116"/>
      <c r="N17" s="116"/>
      <c r="O17" s="112"/>
    </row>
    <row r="18" spans="2:15" ht="17.25" customHeight="1" thickBot="1" x14ac:dyDescent="0.35">
      <c r="B18" s="111"/>
      <c r="C18" s="118" t="str">
        <f>IF($M$10="English",Slovnik!$D$10,Slovnik!$C$10)</f>
        <v>Cenová úroveň (CÚ)</v>
      </c>
      <c r="D18" s="128">
        <v>2020</v>
      </c>
      <c r="E18" s="116"/>
      <c r="F18" s="118" t="str">
        <f>IF($M$10="English",Slovnik!$D$13,Slovnik!$C$13)</f>
        <v>Začátek stavebních prací</v>
      </c>
      <c r="G18" s="128">
        <v>2021</v>
      </c>
      <c r="H18" s="116"/>
      <c r="I18" s="118" t="str">
        <f>IF($M$10="English",Slovnik!$D$15,Slovnik!$C$15)</f>
        <v>Doba hodnocení</v>
      </c>
      <c r="J18" s="128">
        <v>30</v>
      </c>
      <c r="K18" s="118"/>
      <c r="L18" s="118"/>
      <c r="M18" s="118" t="str">
        <f>IF($M$10="English",Slovnik!$D$16,Slovnik!$C$16)</f>
        <v>Směnný kurz (CZK/EUR)</v>
      </c>
      <c r="N18" s="128">
        <v>25.66</v>
      </c>
      <c r="O18" s="112"/>
    </row>
    <row r="19" spans="2:15" ht="9.9499999999999993" customHeight="1" thickBot="1" x14ac:dyDescent="0.3">
      <c r="B19" s="111"/>
      <c r="C19" s="118"/>
      <c r="D19" s="119"/>
      <c r="E19" s="116"/>
      <c r="F19" s="118"/>
      <c r="G19" s="119"/>
      <c r="H19" s="116"/>
      <c r="I19" s="118"/>
      <c r="J19" s="119"/>
      <c r="K19" s="119"/>
      <c r="L19" s="119"/>
      <c r="M19" s="119"/>
      <c r="N19" s="116"/>
      <c r="O19" s="112"/>
    </row>
    <row r="20" spans="2:15" ht="17.25" customHeight="1" thickBot="1" x14ac:dyDescent="0.35">
      <c r="B20" s="111"/>
      <c r="C20" s="116"/>
      <c r="D20" s="116"/>
      <c r="E20" s="116"/>
      <c r="F20" s="118" t="str">
        <f>IF($M$10="English",Slovnik!$D$14,Slovnik!$C$14)</f>
        <v>Začátek provozu</v>
      </c>
      <c r="G20" s="128">
        <v>2023</v>
      </c>
      <c r="H20" s="116"/>
      <c r="I20" s="118" t="str">
        <f>IF($M$10="English",Slovnik!$D$9,Slovnik!$C$9)</f>
        <v>Diskontní sazba</v>
      </c>
      <c r="J20" s="1722">
        <v>0.04</v>
      </c>
      <c r="K20" s="1722">
        <v>0.05</v>
      </c>
      <c r="L20" s="118"/>
      <c r="M20" s="118" t="str">
        <f>IF($M$10="English",Slovnik!$D$17,Slovnik!$C$17)</f>
        <v>DPH</v>
      </c>
      <c r="N20" s="1723">
        <v>0.21</v>
      </c>
      <c r="O20" s="112"/>
    </row>
    <row r="21" spans="2:15" ht="17.25" customHeight="1" x14ac:dyDescent="0.25">
      <c r="B21" s="111"/>
      <c r="C21" s="116"/>
      <c r="D21" s="116"/>
      <c r="E21" s="116"/>
      <c r="F21" s="118"/>
      <c r="G21" s="119"/>
      <c r="H21" s="116"/>
      <c r="I21" s="118"/>
      <c r="J21" s="129" t="str">
        <f>IF($M$10="English",Slovnik!$D$11,Slovnik!$C$11)</f>
        <v>finanční</v>
      </c>
      <c r="K21" s="129" t="str">
        <f>IF($M$10="English",Slovnik!$D$12,Slovnik!$C$12)</f>
        <v>ekonomická</v>
      </c>
      <c r="L21" s="118"/>
      <c r="M21" s="118"/>
      <c r="N21" s="116"/>
      <c r="O21" s="112"/>
    </row>
    <row r="22" spans="2:15" ht="12.75" customHeight="1" thickBot="1" x14ac:dyDescent="0.3">
      <c r="B22" s="113"/>
      <c r="C22" s="120"/>
      <c r="D22" s="120"/>
      <c r="E22" s="120"/>
      <c r="F22" s="120"/>
      <c r="G22" s="120"/>
      <c r="H22" s="120"/>
      <c r="I22" s="120"/>
      <c r="J22" s="120"/>
      <c r="K22" s="120"/>
      <c r="L22" s="120"/>
      <c r="M22" s="120"/>
      <c r="N22" s="120"/>
      <c r="O22" s="115"/>
    </row>
    <row r="23" spans="2:15" ht="12.75" customHeight="1" thickBot="1" x14ac:dyDescent="0.3"/>
    <row r="24" spans="2:15" ht="12.75" customHeight="1" x14ac:dyDescent="0.25">
      <c r="B24" s="108"/>
      <c r="C24" s="109"/>
      <c r="D24" s="109"/>
      <c r="E24" s="109"/>
      <c r="F24" s="109"/>
      <c r="G24" s="109"/>
      <c r="H24" s="109"/>
      <c r="I24" s="109"/>
      <c r="J24" s="109"/>
      <c r="K24" s="109"/>
      <c r="L24" s="109"/>
      <c r="M24" s="109"/>
      <c r="N24" s="109"/>
      <c r="O24" s="110"/>
    </row>
    <row r="25" spans="2:15" ht="12.75" customHeight="1" x14ac:dyDescent="0.25">
      <c r="B25" s="111"/>
      <c r="C25" s="122" t="str">
        <f>IF($M$10="English",Slovnik!$D$18,Slovnik!$C$18)</f>
        <v>Hodnocené scénáře</v>
      </c>
      <c r="D25" s="116"/>
      <c r="E25" s="116"/>
      <c r="F25" s="116"/>
      <c r="G25" s="116"/>
      <c r="H25" s="116"/>
      <c r="I25" s="116"/>
      <c r="J25" s="116"/>
      <c r="K25" s="116"/>
      <c r="L25" s="116"/>
      <c r="M25" s="116"/>
      <c r="N25" s="116"/>
      <c r="O25" s="112"/>
    </row>
    <row r="26" spans="2:15" ht="12.75" customHeight="1" x14ac:dyDescent="0.25">
      <c r="B26" s="2239" t="str">
        <f>IF($M$10="English",Slovnik!$D$19,Slovnik!$C$19)</f>
        <v>BEZ PROJEKTU</v>
      </c>
      <c r="C26" s="2240" t="s">
        <v>1416</v>
      </c>
      <c r="D26" s="2241"/>
      <c r="E26" s="2241"/>
      <c r="F26" s="2241"/>
      <c r="G26" s="2241"/>
      <c r="H26" s="2241"/>
      <c r="I26" s="2241"/>
      <c r="J26" s="2241"/>
      <c r="K26" s="2241"/>
      <c r="L26" s="2241"/>
      <c r="M26" s="2241"/>
      <c r="N26" s="2242"/>
      <c r="O26" s="112"/>
    </row>
    <row r="27" spans="2:15" ht="12.75" customHeight="1" x14ac:dyDescent="0.25">
      <c r="B27" s="2239"/>
      <c r="C27" s="2243"/>
      <c r="D27" s="2244"/>
      <c r="E27" s="2244"/>
      <c r="F27" s="2244"/>
      <c r="G27" s="2244"/>
      <c r="H27" s="2244"/>
      <c r="I27" s="2244"/>
      <c r="J27" s="2244"/>
      <c r="K27" s="2244"/>
      <c r="L27" s="2244"/>
      <c r="M27" s="2244"/>
      <c r="N27" s="2245"/>
      <c r="O27" s="112"/>
    </row>
    <row r="28" spans="2:15" ht="12.75" customHeight="1" x14ac:dyDescent="0.25">
      <c r="B28" s="2239"/>
      <c r="C28" s="2243"/>
      <c r="D28" s="2244"/>
      <c r="E28" s="2244"/>
      <c r="F28" s="2244"/>
      <c r="G28" s="2244"/>
      <c r="H28" s="2244"/>
      <c r="I28" s="2244"/>
      <c r="J28" s="2244"/>
      <c r="K28" s="2244"/>
      <c r="L28" s="2244"/>
      <c r="M28" s="2244"/>
      <c r="N28" s="2245"/>
      <c r="O28" s="112"/>
    </row>
    <row r="29" spans="2:15" ht="13.5" customHeight="1" x14ac:dyDescent="0.25">
      <c r="B29" s="2239"/>
      <c r="C29" s="2246"/>
      <c r="D29" s="2247"/>
      <c r="E29" s="2247"/>
      <c r="F29" s="2247"/>
      <c r="G29" s="2247"/>
      <c r="H29" s="2247"/>
      <c r="I29" s="2247"/>
      <c r="J29" s="2247"/>
      <c r="K29" s="2247"/>
      <c r="L29" s="2247"/>
      <c r="M29" s="2247"/>
      <c r="N29" s="2248"/>
      <c r="O29" s="112"/>
    </row>
    <row r="30" spans="2:15" ht="12.75" customHeight="1" x14ac:dyDescent="0.25">
      <c r="B30" s="111"/>
      <c r="C30" s="121"/>
      <c r="D30" s="121"/>
      <c r="E30" s="121"/>
      <c r="F30" s="121"/>
      <c r="G30" s="121"/>
      <c r="H30" s="121"/>
      <c r="I30" s="121"/>
      <c r="J30" s="121"/>
      <c r="K30" s="121"/>
      <c r="L30" s="121"/>
      <c r="M30" s="121"/>
      <c r="N30" s="121"/>
      <c r="O30" s="112"/>
    </row>
    <row r="31" spans="2:15" ht="12.75" customHeight="1" x14ac:dyDescent="0.25">
      <c r="B31" s="2239" t="str">
        <f>IF($M$10="English",Slovnik!$D$20,Slovnik!$C$20)</f>
        <v>S PROJEKTEM</v>
      </c>
      <c r="C31" s="2240" t="s">
        <v>1417</v>
      </c>
      <c r="D31" s="2241"/>
      <c r="E31" s="2241"/>
      <c r="F31" s="2241"/>
      <c r="G31" s="2241"/>
      <c r="H31" s="2241"/>
      <c r="I31" s="2241"/>
      <c r="J31" s="2241"/>
      <c r="K31" s="2241"/>
      <c r="L31" s="2241"/>
      <c r="M31" s="2241"/>
      <c r="N31" s="2242"/>
      <c r="O31" s="112"/>
    </row>
    <row r="32" spans="2:15" ht="12.75" customHeight="1" x14ac:dyDescent="0.25">
      <c r="B32" s="2239"/>
      <c r="C32" s="2243"/>
      <c r="D32" s="2244"/>
      <c r="E32" s="2244"/>
      <c r="F32" s="2244"/>
      <c r="G32" s="2244"/>
      <c r="H32" s="2244"/>
      <c r="I32" s="2244"/>
      <c r="J32" s="2244"/>
      <c r="K32" s="2244"/>
      <c r="L32" s="2244"/>
      <c r="M32" s="2244"/>
      <c r="N32" s="2245"/>
      <c r="O32" s="112"/>
    </row>
    <row r="33" spans="2:16" ht="12.75" customHeight="1" x14ac:dyDescent="0.25">
      <c r="B33" s="2239"/>
      <c r="C33" s="2243"/>
      <c r="D33" s="2244"/>
      <c r="E33" s="2244"/>
      <c r="F33" s="2244"/>
      <c r="G33" s="2244"/>
      <c r="H33" s="2244"/>
      <c r="I33" s="2244"/>
      <c r="J33" s="2244"/>
      <c r="K33" s="2244"/>
      <c r="L33" s="2244"/>
      <c r="M33" s="2244"/>
      <c r="N33" s="2245"/>
      <c r="O33" s="112"/>
    </row>
    <row r="34" spans="2:16" x14ac:dyDescent="0.25">
      <c r="B34" s="2239"/>
      <c r="C34" s="2246"/>
      <c r="D34" s="2247"/>
      <c r="E34" s="2247"/>
      <c r="F34" s="2247"/>
      <c r="G34" s="2247"/>
      <c r="H34" s="2247"/>
      <c r="I34" s="2247"/>
      <c r="J34" s="2247"/>
      <c r="K34" s="2247"/>
      <c r="L34" s="2247"/>
      <c r="M34" s="2247"/>
      <c r="N34" s="2248"/>
      <c r="O34" s="112"/>
    </row>
    <row r="35" spans="2:16" ht="12.75" customHeight="1" thickBot="1" x14ac:dyDescent="0.3">
      <c r="B35" s="113"/>
      <c r="C35" s="114"/>
      <c r="D35" s="114"/>
      <c r="E35" s="114"/>
      <c r="F35" s="114"/>
      <c r="G35" s="114"/>
      <c r="H35" s="114"/>
      <c r="I35" s="114"/>
      <c r="J35" s="114"/>
      <c r="K35" s="114"/>
      <c r="L35" s="114"/>
      <c r="M35" s="114"/>
      <c r="N35" s="114"/>
      <c r="O35" s="115"/>
    </row>
    <row r="36" spans="2:16" ht="12.75" customHeight="1" thickBot="1" x14ac:dyDescent="0.3"/>
    <row r="37" spans="2:16" x14ac:dyDescent="0.25">
      <c r="B37" s="108"/>
      <c r="C37" s="109"/>
      <c r="D37" s="109"/>
      <c r="E37" s="109"/>
      <c r="F37" s="109"/>
      <c r="G37" s="109"/>
      <c r="H37" s="109"/>
      <c r="I37" s="109"/>
      <c r="J37" s="109"/>
      <c r="K37" s="109"/>
      <c r="L37" s="109"/>
      <c r="M37" s="109"/>
      <c r="N37" s="109"/>
      <c r="O37" s="110"/>
    </row>
    <row r="38" spans="2:16" x14ac:dyDescent="0.25">
      <c r="B38" s="111"/>
      <c r="C38" s="477" t="str">
        <f>IF($M$10="English",Slovnik!$D$21,Slovnik!$C$21)</f>
        <v>Míra inflace</v>
      </c>
      <c r="D38" s="478"/>
      <c r="E38" s="478"/>
      <c r="F38" s="478"/>
      <c r="G38" s="478"/>
      <c r="H38" s="478"/>
      <c r="I38" s="478"/>
      <c r="J38" s="478"/>
      <c r="K38" s="478"/>
      <c r="L38" s="478"/>
      <c r="M38" s="478"/>
      <c r="N38" s="478"/>
      <c r="O38" s="112"/>
    </row>
    <row r="39" spans="2:16" ht="14.25" thickBot="1" x14ac:dyDescent="0.3">
      <c r="B39" s="111"/>
      <c r="C39" s="116"/>
      <c r="D39" s="116"/>
      <c r="E39" s="116"/>
      <c r="F39" s="116"/>
      <c r="G39" s="116"/>
      <c r="H39" s="116"/>
      <c r="I39" s="116"/>
      <c r="J39" s="116"/>
      <c r="K39" s="116"/>
      <c r="L39" s="116"/>
      <c r="M39" s="116"/>
      <c r="N39" s="116"/>
      <c r="O39" s="112"/>
    </row>
    <row r="40" spans="2:16" ht="14.25" customHeight="1" x14ac:dyDescent="0.25">
      <c r="B40" s="111"/>
      <c r="C40" s="137" t="str">
        <f>IF($M$10="English",Slovnik!$D$22,Slovnik!$C$22)</f>
        <v>rok</v>
      </c>
      <c r="D40" s="137">
        <v>2010</v>
      </c>
      <c r="E40" s="137">
        <v>2011</v>
      </c>
      <c r="F40" s="137">
        <v>2012</v>
      </c>
      <c r="G40" s="137">
        <v>2013</v>
      </c>
      <c r="H40" s="137">
        <v>2014</v>
      </c>
      <c r="I40" s="137">
        <v>2015</v>
      </c>
      <c r="J40" s="137">
        <v>2016</v>
      </c>
      <c r="K40" s="137">
        <v>2017</v>
      </c>
      <c r="L40" s="137">
        <v>2018</v>
      </c>
      <c r="M40" s="137">
        <v>2019</v>
      </c>
      <c r="N40" s="137">
        <v>2020</v>
      </c>
      <c r="O40" s="132" t="s">
        <v>169</v>
      </c>
    </row>
    <row r="41" spans="2:16" ht="14.25" thickBot="1" x14ac:dyDescent="0.3">
      <c r="B41" s="111"/>
      <c r="C41" s="138" t="str">
        <f>IF($M$10="English",Slovnik!$D$23,Slovnik!$C$23)</f>
        <v>inflace</v>
      </c>
      <c r="D41" s="1724">
        <v>1.4999999999999999E-2</v>
      </c>
      <c r="E41" s="1724">
        <v>1.9E-2</v>
      </c>
      <c r="F41" s="1724">
        <v>3.3000000000000002E-2</v>
      </c>
      <c r="G41" s="1724">
        <v>1.4E-2</v>
      </c>
      <c r="H41" s="1724">
        <v>4.0000000000000001E-3</v>
      </c>
      <c r="I41" s="1724">
        <v>3.0000000000000001E-3</v>
      </c>
      <c r="J41" s="1724">
        <v>7.0000000000000001E-3</v>
      </c>
      <c r="K41" s="1724">
        <v>2.5000000000000001E-2</v>
      </c>
      <c r="L41" s="1724">
        <v>2.1000000000000001E-2</v>
      </c>
      <c r="M41" s="1724">
        <v>2.1999999999999999E-2</v>
      </c>
      <c r="N41" s="1724">
        <v>0.02</v>
      </c>
      <c r="O41" s="133"/>
    </row>
    <row r="42" spans="2:16" x14ac:dyDescent="0.25">
      <c r="B42" s="111"/>
      <c r="C42" s="126"/>
      <c r="D42" s="127">
        <v>1</v>
      </c>
      <c r="E42" s="127">
        <v>1</v>
      </c>
      <c r="F42" s="127">
        <v>1</v>
      </c>
      <c r="G42" s="127">
        <v>1</v>
      </c>
      <c r="H42" s="127">
        <v>1</v>
      </c>
      <c r="I42" s="127">
        <v>1</v>
      </c>
      <c r="J42" s="127">
        <v>1</v>
      </c>
      <c r="K42" s="127">
        <v>1</v>
      </c>
      <c r="L42" s="127">
        <f>K42*(1+L41)</f>
        <v>1.0209999999999999</v>
      </c>
      <c r="M42" s="127">
        <f>L42*(1+M41)</f>
        <v>1.0434619999999999</v>
      </c>
      <c r="N42" s="127">
        <f>M42*(1+N41)</f>
        <v>1.06433124</v>
      </c>
      <c r="O42" s="133"/>
    </row>
    <row r="43" spans="2:16" x14ac:dyDescent="0.25">
      <c r="B43" s="111"/>
      <c r="C43" s="125" t="str">
        <f>IF($M$10="English",Slovnik!$E$25,Slovnik!$E$24)</f>
        <v>zdroj: Rezortní metodika pro hodnocení ekonomické efektivnosti projektů dopravních staveb (MD ČR, 2017); ČNB (Zpráva o inflaci I/2019)</v>
      </c>
      <c r="D43" s="116"/>
      <c r="E43" s="116"/>
      <c r="F43" s="116"/>
      <c r="G43" s="116"/>
      <c r="H43" s="116"/>
      <c r="I43" s="116"/>
      <c r="J43" s="116"/>
      <c r="K43" s="116"/>
      <c r="L43" s="116"/>
      <c r="M43" s="116"/>
      <c r="N43" s="116"/>
      <c r="O43" s="133"/>
      <c r="P43" s="103"/>
    </row>
    <row r="44" spans="2:16" x14ac:dyDescent="0.25">
      <c r="B44" s="111"/>
      <c r="C44" s="116"/>
      <c r="D44" s="116"/>
      <c r="E44" s="116"/>
      <c r="F44" s="116"/>
      <c r="G44" s="116"/>
      <c r="H44" s="116"/>
      <c r="I44" s="116"/>
      <c r="J44" s="116"/>
      <c r="K44" s="116"/>
      <c r="L44" s="116"/>
      <c r="M44" s="116"/>
      <c r="N44" s="116"/>
      <c r="O44" s="133"/>
      <c r="P44" s="103"/>
    </row>
    <row r="45" spans="2:16" x14ac:dyDescent="0.25">
      <c r="B45" s="111"/>
      <c r="C45" s="104" t="str">
        <f>IF($M$10="English",Slovnik!$D$24,Slovnik!$C$24)</f>
        <v>Index cen stavebních prací</v>
      </c>
      <c r="D45" s="105"/>
      <c r="E45" s="105"/>
      <c r="F45" s="105"/>
      <c r="G45" s="105"/>
      <c r="H45" s="105"/>
      <c r="I45" s="105"/>
      <c r="J45" s="105"/>
      <c r="K45" s="105"/>
      <c r="L45" s="105"/>
      <c r="M45" s="105"/>
      <c r="N45" s="105"/>
      <c r="O45" s="133"/>
      <c r="P45" s="103"/>
    </row>
    <row r="46" spans="2:16" ht="14.25" thickBot="1" x14ac:dyDescent="0.3">
      <c r="B46" s="111"/>
      <c r="C46" s="116"/>
      <c r="D46" s="116"/>
      <c r="E46" s="116"/>
      <c r="F46" s="116"/>
      <c r="G46" s="116"/>
      <c r="H46" s="116"/>
      <c r="I46" s="116"/>
      <c r="J46" s="116"/>
      <c r="K46" s="116"/>
      <c r="L46" s="116"/>
      <c r="M46" s="116"/>
      <c r="N46" s="116"/>
      <c r="O46" s="133"/>
      <c r="P46" s="103"/>
    </row>
    <row r="47" spans="2:16" x14ac:dyDescent="0.25">
      <c r="B47" s="111"/>
      <c r="C47" s="137" t="str">
        <f>IF($M$10="English",Slovnik!$D$22,Slovnik!$C$22)</f>
        <v>rok</v>
      </c>
      <c r="D47" s="137">
        <v>2010</v>
      </c>
      <c r="E47" s="137">
        <v>2011</v>
      </c>
      <c r="F47" s="137">
        <v>2012</v>
      </c>
      <c r="G47" s="137">
        <v>2013</v>
      </c>
      <c r="H47" s="137">
        <v>2014</v>
      </c>
      <c r="I47" s="137">
        <v>2015</v>
      </c>
      <c r="J47" s="137">
        <v>2016</v>
      </c>
      <c r="K47" s="137">
        <v>2017</v>
      </c>
      <c r="L47" s="137">
        <v>2018</v>
      </c>
      <c r="M47" s="137">
        <v>2019</v>
      </c>
      <c r="N47" s="137">
        <v>2020</v>
      </c>
      <c r="O47" s="132" t="s">
        <v>169</v>
      </c>
      <c r="P47" s="103"/>
    </row>
    <row r="48" spans="2:16" ht="14.25" thickBot="1" x14ac:dyDescent="0.3">
      <c r="B48" s="111"/>
      <c r="C48" s="138" t="str">
        <f>IF($M$10="English",Slovnik!$D$23,Slovnik!$C$23)</f>
        <v>inflace</v>
      </c>
      <c r="D48" s="1724">
        <v>-2E-3</v>
      </c>
      <c r="E48" s="1724">
        <v>-5.0000000000000001E-3</v>
      </c>
      <c r="F48" s="1724">
        <v>-7.0000000000000001E-3</v>
      </c>
      <c r="G48" s="1724">
        <v>-1.0999999999999999E-2</v>
      </c>
      <c r="H48" s="1724">
        <v>5.0000000000000001E-3</v>
      </c>
      <c r="I48" s="1724">
        <v>0</v>
      </c>
      <c r="J48" s="1724">
        <v>0</v>
      </c>
      <c r="K48" s="1724">
        <v>0</v>
      </c>
      <c r="L48" s="1724">
        <v>0</v>
      </c>
      <c r="M48" s="1724">
        <v>1.2999999999999999E-2</v>
      </c>
      <c r="N48" s="1724">
        <v>2.35E-2</v>
      </c>
      <c r="O48" s="133"/>
      <c r="P48" s="103"/>
    </row>
    <row r="49" spans="1:16" x14ac:dyDescent="0.25">
      <c r="B49" s="111"/>
      <c r="C49" s="126"/>
      <c r="D49" s="127">
        <v>1</v>
      </c>
      <c r="E49" s="127">
        <v>1</v>
      </c>
      <c r="F49" s="127">
        <v>1</v>
      </c>
      <c r="G49" s="127">
        <v>1</v>
      </c>
      <c r="H49" s="127">
        <v>1</v>
      </c>
      <c r="I49" s="127">
        <v>1</v>
      </c>
      <c r="J49" s="127">
        <v>1</v>
      </c>
      <c r="K49" s="127">
        <v>1</v>
      </c>
      <c r="L49" s="127">
        <f>K49*(1+L48)</f>
        <v>1</v>
      </c>
      <c r="M49" s="127">
        <f>L49*(1+M48)</f>
        <v>1.0129999999999999</v>
      </c>
      <c r="N49" s="127">
        <f>M49*(1+N48)</f>
        <v>1.0368055</v>
      </c>
      <c r="O49" s="133"/>
      <c r="P49" s="103"/>
    </row>
    <row r="50" spans="1:16" x14ac:dyDescent="0.25">
      <c r="B50" s="111"/>
      <c r="C50" s="125" t="str">
        <f>IF($M$10="English",Slovnik!$D$25,Slovnik!$C$25)</f>
        <v>zdroj: aktuálně platné opatření SFDI (č.j. 6193/SFDI/320079/3375/2019)</v>
      </c>
      <c r="D50" s="116"/>
      <c r="E50" s="116"/>
      <c r="F50" s="116"/>
      <c r="G50" s="116"/>
      <c r="H50" s="116"/>
      <c r="I50" s="116"/>
      <c r="J50" s="116"/>
      <c r="K50" s="116"/>
      <c r="L50" s="116"/>
      <c r="M50" s="116"/>
      <c r="N50" s="116"/>
      <c r="O50" s="133"/>
      <c r="P50" s="103"/>
    </row>
    <row r="51" spans="1:16" ht="14.25" thickBot="1" x14ac:dyDescent="0.3">
      <c r="B51" s="134"/>
      <c r="C51" s="135"/>
      <c r="D51" s="135"/>
      <c r="E51" s="135"/>
      <c r="F51" s="135"/>
      <c r="G51" s="135"/>
      <c r="H51" s="135"/>
      <c r="I51" s="135"/>
      <c r="J51" s="135"/>
      <c r="K51" s="135"/>
      <c r="L51" s="135"/>
      <c r="M51" s="135"/>
      <c r="N51" s="135"/>
      <c r="O51" s="136"/>
      <c r="P51" s="103"/>
    </row>
    <row r="52" spans="1:16" ht="14.25" thickBot="1" x14ac:dyDescent="0.3">
      <c r="C52" s="123"/>
      <c r="D52" s="101"/>
      <c r="E52" s="101"/>
      <c r="F52" s="101"/>
      <c r="G52" s="101"/>
      <c r="H52" s="101"/>
      <c r="I52" s="101"/>
      <c r="J52" s="101"/>
      <c r="K52" s="101"/>
      <c r="L52" s="101"/>
      <c r="M52" s="101"/>
      <c r="N52" s="101"/>
      <c r="P52" s="103"/>
    </row>
    <row r="53" spans="1:16" x14ac:dyDescent="0.25">
      <c r="B53" s="108"/>
      <c r="C53" s="109"/>
      <c r="D53" s="109"/>
      <c r="E53" s="109"/>
      <c r="F53" s="109"/>
      <c r="G53" s="109"/>
      <c r="H53" s="109"/>
      <c r="I53" s="109"/>
      <c r="J53" s="109"/>
      <c r="K53" s="109"/>
      <c r="L53" s="109"/>
      <c r="M53" s="109"/>
      <c r="N53" s="109"/>
      <c r="O53" s="110"/>
      <c r="P53" s="103"/>
    </row>
    <row r="54" spans="1:16" x14ac:dyDescent="0.25">
      <c r="B54" s="111"/>
      <c r="C54" s="477" t="str">
        <f>IF($M$10="English",Slovnik!$D$26,Slovnik!$C$26)</f>
        <v>Růst HDP na hlavu</v>
      </c>
      <c r="D54" s="478"/>
      <c r="E54" s="478"/>
      <c r="F54" s="478"/>
      <c r="G54" s="478"/>
      <c r="H54" s="478"/>
      <c r="I54" s="478"/>
      <c r="J54" s="478"/>
      <c r="K54" s="478"/>
      <c r="L54" s="478"/>
      <c r="M54" s="478"/>
      <c r="N54" s="478"/>
      <c r="O54" s="112"/>
      <c r="P54" s="103"/>
    </row>
    <row r="55" spans="1:16" ht="14.25" thickBot="1" x14ac:dyDescent="0.3">
      <c r="B55" s="111"/>
      <c r="C55" s="116"/>
      <c r="D55" s="116"/>
      <c r="E55" s="116"/>
      <c r="F55" s="116"/>
      <c r="G55" s="116"/>
      <c r="H55" s="116"/>
      <c r="I55" s="116"/>
      <c r="J55" s="116"/>
      <c r="K55" s="116"/>
      <c r="L55" s="116"/>
      <c r="M55" s="116"/>
      <c r="N55" s="116"/>
      <c r="O55" s="112"/>
      <c r="P55" s="103"/>
    </row>
    <row r="56" spans="1:16" x14ac:dyDescent="0.25">
      <c r="A56" s="97" t="s">
        <v>2</v>
      </c>
      <c r="B56" s="111"/>
      <c r="C56" s="137" t="str">
        <f>IF($M$10="English",Slovnik!$D$22,Slovnik!$C$22)</f>
        <v>rok</v>
      </c>
      <c r="D56" s="137">
        <v>2010</v>
      </c>
      <c r="E56" s="137">
        <v>2011</v>
      </c>
      <c r="F56" s="137">
        <v>2012</v>
      </c>
      <c r="G56" s="137">
        <v>2013</v>
      </c>
      <c r="H56" s="137">
        <v>2014</v>
      </c>
      <c r="I56" s="137">
        <v>2015</v>
      </c>
      <c r="J56" s="137">
        <v>2016</v>
      </c>
      <c r="K56" s="137">
        <v>2017</v>
      </c>
      <c r="L56" s="137">
        <v>2018</v>
      </c>
      <c r="M56" s="137">
        <v>2019</v>
      </c>
      <c r="N56" s="137">
        <v>2020</v>
      </c>
      <c r="O56" s="132" t="s">
        <v>169</v>
      </c>
      <c r="P56" s="103"/>
    </row>
    <row r="57" spans="1:16" ht="14.25" thickBot="1" x14ac:dyDescent="0.3">
      <c r="B57" s="111"/>
      <c r="C57" s="138" t="str">
        <f>IF($M$10="English",Slovnik!$D$27,Slovnik!$C$27)</f>
        <v>růst HDP</v>
      </c>
      <c r="D57" s="1724">
        <v>2.1000000000000001E-2</v>
      </c>
      <c r="E57" s="1724">
        <v>0.02</v>
      </c>
      <c r="F57" s="1724">
        <v>-7.0000000000000001E-3</v>
      </c>
      <c r="G57" s="1724">
        <v>-5.0000000000000001E-3</v>
      </c>
      <c r="H57" s="1724">
        <v>2.7E-2</v>
      </c>
      <c r="I57" s="1724">
        <v>5.3999999999999999E-2</v>
      </c>
      <c r="J57" s="1724">
        <v>2.4E-2</v>
      </c>
      <c r="K57" s="1724">
        <v>4.4999999999999998E-2</v>
      </c>
      <c r="L57" s="1724">
        <v>2.8000000000000001E-2</v>
      </c>
      <c r="M57" s="1724">
        <v>2.9000000000000001E-2</v>
      </c>
      <c r="N57" s="1724">
        <v>0.03</v>
      </c>
      <c r="O57" s="139"/>
      <c r="P57" s="103"/>
    </row>
    <row r="58" spans="1:16" x14ac:dyDescent="0.25">
      <c r="B58" s="111"/>
      <c r="C58" s="116"/>
      <c r="D58" s="131"/>
      <c r="E58" s="131"/>
      <c r="F58" s="131"/>
      <c r="G58" s="131"/>
      <c r="H58" s="131"/>
      <c r="I58" s="131"/>
      <c r="J58" s="131"/>
      <c r="K58" s="124"/>
      <c r="L58" s="124"/>
      <c r="M58" s="124"/>
      <c r="N58" s="124"/>
      <c r="O58" s="139"/>
      <c r="P58" s="103"/>
    </row>
    <row r="59" spans="1:16" x14ac:dyDescent="0.25">
      <c r="B59" s="111"/>
      <c r="C59" s="125" t="str">
        <f>IF($M$10="English",Slovnik!$E$25,Slovnik!$E$24)</f>
        <v>zdroj: Rezortní metodika pro hodnocení ekonomické efektivnosti projektů dopravních staveb (MD ČR, 2017); ČNB (Zpráva o inflaci I/2019)</v>
      </c>
      <c r="D59" s="116"/>
      <c r="E59" s="116"/>
      <c r="F59" s="116"/>
      <c r="G59" s="116"/>
      <c r="H59" s="116"/>
      <c r="I59" s="116"/>
      <c r="J59" s="116"/>
      <c r="K59" s="116"/>
      <c r="L59" s="116"/>
      <c r="M59" s="116"/>
      <c r="N59" s="116"/>
      <c r="O59" s="139"/>
      <c r="P59" s="103"/>
    </row>
    <row r="60" spans="1:16" ht="14.25" thickBot="1" x14ac:dyDescent="0.3">
      <c r="B60" s="134"/>
      <c r="C60" s="135"/>
      <c r="D60" s="135"/>
      <c r="E60" s="135"/>
      <c r="F60" s="135"/>
      <c r="G60" s="135"/>
      <c r="H60" s="135"/>
      <c r="I60" s="135"/>
      <c r="J60" s="135"/>
      <c r="K60" s="135"/>
      <c r="L60" s="135"/>
      <c r="M60" s="135"/>
      <c r="N60" s="135"/>
      <c r="O60" s="136"/>
      <c r="P60" s="103"/>
    </row>
    <row r="61" spans="1:16" ht="14.25" thickBot="1" x14ac:dyDescent="0.3">
      <c r="C61" s="101"/>
      <c r="D61" s="101"/>
      <c r="E61" s="101"/>
      <c r="F61" s="101"/>
      <c r="G61" s="101"/>
      <c r="H61" s="101"/>
      <c r="I61" s="101"/>
      <c r="J61" s="101"/>
      <c r="K61" s="101"/>
      <c r="L61" s="101"/>
      <c r="M61" s="101"/>
      <c r="N61" s="101"/>
      <c r="P61" s="103"/>
    </row>
    <row r="62" spans="1:16" x14ac:dyDescent="0.25">
      <c r="B62" s="108"/>
      <c r="C62" s="109"/>
      <c r="D62" s="109"/>
      <c r="E62" s="109"/>
      <c r="F62" s="109"/>
      <c r="G62" s="109"/>
      <c r="H62" s="109"/>
      <c r="I62" s="109"/>
      <c r="J62" s="109"/>
      <c r="K62" s="109"/>
      <c r="L62" s="109"/>
      <c r="M62" s="109"/>
      <c r="N62" s="109"/>
      <c r="O62" s="110"/>
      <c r="P62" s="103"/>
    </row>
    <row r="63" spans="1:16" x14ac:dyDescent="0.25">
      <c r="B63" s="111"/>
      <c r="C63" s="477" t="str">
        <f>IF($M$10="English",Slovnik!$D$28,Slovnik!$C$28)</f>
        <v>Růst reálných mezd</v>
      </c>
      <c r="D63" s="478"/>
      <c r="E63" s="478"/>
      <c r="F63" s="478"/>
      <c r="G63" s="478"/>
      <c r="H63" s="478"/>
      <c r="I63" s="478"/>
      <c r="J63" s="478"/>
      <c r="K63" s="478"/>
      <c r="L63" s="478"/>
      <c r="M63" s="478"/>
      <c r="N63" s="478"/>
      <c r="O63" s="112"/>
      <c r="P63" s="103"/>
    </row>
    <row r="64" spans="1:16" ht="14.25" thickBot="1" x14ac:dyDescent="0.3">
      <c r="B64" s="111"/>
      <c r="C64" s="116"/>
      <c r="D64" s="116"/>
      <c r="E64" s="116"/>
      <c r="F64" s="116"/>
      <c r="G64" s="116"/>
      <c r="H64" s="116"/>
      <c r="I64" s="116"/>
      <c r="J64" s="116"/>
      <c r="K64" s="116"/>
      <c r="L64" s="116"/>
      <c r="M64" s="116"/>
      <c r="N64" s="116"/>
      <c r="O64" s="112"/>
      <c r="P64" s="103"/>
    </row>
    <row r="65" spans="1:16" x14ac:dyDescent="0.25">
      <c r="A65" s="97" t="s">
        <v>2</v>
      </c>
      <c r="B65" s="111"/>
      <c r="C65" s="137" t="str">
        <f>IF($M$10="English",Slovnik!$D$22,Slovnik!$C$22)</f>
        <v>rok</v>
      </c>
      <c r="D65" s="137">
        <v>2010</v>
      </c>
      <c r="E65" s="137">
        <v>2011</v>
      </c>
      <c r="F65" s="137">
        <v>2012</v>
      </c>
      <c r="G65" s="137">
        <v>2013</v>
      </c>
      <c r="H65" s="137">
        <v>2014</v>
      </c>
      <c r="I65" s="137">
        <v>2015</v>
      </c>
      <c r="J65" s="137">
        <v>2016</v>
      </c>
      <c r="K65" s="137">
        <v>2017</v>
      </c>
      <c r="L65" s="137">
        <v>2018</v>
      </c>
      <c r="M65" s="137">
        <v>2019</v>
      </c>
      <c r="N65" s="137">
        <v>2020</v>
      </c>
      <c r="O65" s="132" t="s">
        <v>169</v>
      </c>
      <c r="P65" s="103"/>
    </row>
    <row r="66" spans="1:16" ht="14.25" thickBot="1" x14ac:dyDescent="0.3">
      <c r="B66" s="111"/>
      <c r="C66" s="138" t="str">
        <f>IF($M$10="English",Slovnik!$D$29,Slovnik!$C$29)</f>
        <v>růst mezd</v>
      </c>
      <c r="D66" s="1724">
        <v>7.0000000000000001E-3</v>
      </c>
      <c r="E66" s="1724">
        <v>6.0000000000000001E-3</v>
      </c>
      <c r="F66" s="1724">
        <v>-8.0000000000000002E-3</v>
      </c>
      <c r="G66" s="1724">
        <v>-1.4999999999999999E-2</v>
      </c>
      <c r="H66" s="1724">
        <v>2.5000000000000001E-2</v>
      </c>
      <c r="I66" s="1724">
        <v>2.9000000000000001E-2</v>
      </c>
      <c r="J66" s="1724">
        <v>0.03</v>
      </c>
      <c r="K66" s="1724">
        <v>4.3999999999999997E-2</v>
      </c>
      <c r="L66" s="1724">
        <v>6.4000000000000001E-2</v>
      </c>
      <c r="M66" s="1724">
        <v>4.7E-2</v>
      </c>
      <c r="N66" s="1724">
        <v>3.4000000000000002E-2</v>
      </c>
      <c r="O66" s="139"/>
      <c r="P66" s="103"/>
    </row>
    <row r="67" spans="1:16" x14ac:dyDescent="0.25">
      <c r="B67" s="111"/>
      <c r="C67" s="116"/>
      <c r="D67" s="127">
        <v>1</v>
      </c>
      <c r="E67" s="127">
        <v>1</v>
      </c>
      <c r="F67" s="127">
        <v>1</v>
      </c>
      <c r="G67" s="127">
        <v>1</v>
      </c>
      <c r="H67" s="127">
        <v>1</v>
      </c>
      <c r="I67" s="127">
        <v>1</v>
      </c>
      <c r="J67" s="127">
        <v>1</v>
      </c>
      <c r="K67" s="127">
        <v>1</v>
      </c>
      <c r="L67" s="127">
        <f>K67*(1+L66*'3 PN infrastruktury'!$D$107)</f>
        <v>1.0640000000000001</v>
      </c>
      <c r="M67" s="127">
        <f>L67*(1+M66*'3 PN infrastruktury'!$D$107)</f>
        <v>1.1140079999999999</v>
      </c>
      <c r="N67" s="127">
        <f>M67*(1+N66*'3 PN infrastruktury'!$D$107)</f>
        <v>1.151884272</v>
      </c>
      <c r="O67" s="139"/>
      <c r="P67" s="103"/>
    </row>
    <row r="68" spans="1:16" x14ac:dyDescent="0.25">
      <c r="B68" s="111"/>
      <c r="C68" s="125" t="str">
        <f>IF($M$10="English",Slovnik!$E$25,Slovnik!$E$24)</f>
        <v>zdroj: Rezortní metodika pro hodnocení ekonomické efektivnosti projektů dopravních staveb (MD ČR, 2017); ČNB (Zpráva o inflaci I/2019)</v>
      </c>
      <c r="D68" s="116"/>
      <c r="E68" s="116"/>
      <c r="F68" s="116"/>
      <c r="G68" s="116"/>
      <c r="H68" s="116"/>
      <c r="I68" s="116"/>
      <c r="J68" s="116"/>
      <c r="K68" s="116"/>
      <c r="L68" s="116"/>
      <c r="M68" s="116"/>
      <c r="N68" s="116"/>
      <c r="O68" s="139"/>
      <c r="P68" s="103"/>
    </row>
    <row r="69" spans="1:16" ht="14.25" thickBot="1" x14ac:dyDescent="0.3">
      <c r="B69" s="134"/>
      <c r="C69" s="135"/>
      <c r="D69" s="135"/>
      <c r="E69" s="135"/>
      <c r="F69" s="135"/>
      <c r="G69" s="135"/>
      <c r="H69" s="135"/>
      <c r="I69" s="135"/>
      <c r="J69" s="135"/>
      <c r="K69" s="135"/>
      <c r="L69" s="135"/>
      <c r="M69" s="135"/>
      <c r="N69" s="135"/>
      <c r="O69" s="136"/>
    </row>
    <row r="71" spans="1:16" x14ac:dyDescent="0.25">
      <c r="C71" s="130" t="str">
        <f>IF($M$10="English",Slovnik!$E$29,Slovnik!$E$28)</f>
        <v>* pro další roky platí v souladu s Rezortní metodikou průměrná hodnota spočtená od roku 2010 do r. 2019, tzn. inflace = 1,63%, HDP = 2,36%, mzdy = 2,29%</v>
      </c>
    </row>
    <row r="72" spans="1:16" ht="14.25" thickBot="1" x14ac:dyDescent="0.3">
      <c r="A72" s="102"/>
    </row>
    <row r="73" spans="1:16" x14ac:dyDescent="0.25">
      <c r="B73" s="140"/>
      <c r="C73" s="141"/>
      <c r="D73" s="141"/>
      <c r="E73" s="141"/>
      <c r="F73" s="141"/>
      <c r="G73" s="142"/>
      <c r="H73" s="142"/>
      <c r="I73" s="142"/>
      <c r="J73" s="142"/>
      <c r="K73" s="141"/>
      <c r="L73" s="142"/>
      <c r="M73" s="141"/>
      <c r="N73" s="141"/>
      <c r="O73" s="143"/>
    </row>
    <row r="74" spans="1:16" x14ac:dyDescent="0.25">
      <c r="B74" s="144"/>
      <c r="C74" s="145" t="str">
        <f>IF($M$10="English",Slovnik!$D$30,Slovnik!$C$30)</f>
        <v>Vyplnit pouze žlutě podbarvené buňky!</v>
      </c>
      <c r="D74" s="100"/>
      <c r="E74" s="100"/>
      <c r="F74" s="100"/>
      <c r="G74" s="100"/>
      <c r="H74" s="100"/>
      <c r="I74" s="100"/>
      <c r="J74" s="100"/>
      <c r="K74" s="100"/>
      <c r="L74" s="100"/>
      <c r="M74" s="100"/>
      <c r="N74" s="100"/>
      <c r="O74" s="146"/>
    </row>
    <row r="75" spans="1:16" x14ac:dyDescent="0.25">
      <c r="B75" s="144"/>
      <c r="C75" s="2233" t="str">
        <f>IF($M$10="English",Slovnik!$E$32,Slovnik!$E$31)</f>
        <v>Tabulky byly optimalizovány pro MS Excel 2010. Kompatibilita s předchozími verzemi MS Excel (obzvláště verzemi staršími než MS Excel 2007) není garantována (např. pokud jde o barevné rozlišení).</v>
      </c>
      <c r="D75" s="2233"/>
      <c r="E75" s="2233"/>
      <c r="F75" s="2233"/>
      <c r="G75" s="2233"/>
      <c r="H75" s="2233"/>
      <c r="I75" s="2233"/>
      <c r="J75" s="2233"/>
      <c r="K75" s="2233"/>
      <c r="L75" s="2233"/>
      <c r="M75" s="2233"/>
      <c r="N75" s="2233"/>
      <c r="O75" s="2234"/>
    </row>
    <row r="76" spans="1:16" x14ac:dyDescent="0.25">
      <c r="B76" s="144"/>
      <c r="C76" s="2233"/>
      <c r="D76" s="2233"/>
      <c r="E76" s="2233"/>
      <c r="F76" s="2233"/>
      <c r="G76" s="2233"/>
      <c r="H76" s="2233"/>
      <c r="I76" s="2233"/>
      <c r="J76" s="2233"/>
      <c r="K76" s="2233"/>
      <c r="L76" s="2233"/>
      <c r="M76" s="2233"/>
      <c r="N76" s="2233"/>
      <c r="O76" s="2234"/>
    </row>
    <row r="77" spans="1:16" ht="14.25" thickBot="1" x14ac:dyDescent="0.3">
      <c r="B77" s="147"/>
      <c r="C77" s="1828"/>
      <c r="D77" s="148"/>
      <c r="E77" s="148"/>
      <c r="F77" s="148"/>
      <c r="G77" s="148"/>
      <c r="H77" s="148"/>
      <c r="I77" s="148"/>
      <c r="J77" s="148"/>
      <c r="K77" s="148"/>
      <c r="L77" s="148"/>
      <c r="M77" s="148"/>
      <c r="N77" s="148"/>
      <c r="O77" s="149"/>
    </row>
    <row r="78" spans="1:16" x14ac:dyDescent="0.25">
      <c r="F78" s="103"/>
      <c r="G78" s="103"/>
      <c r="H78" s="103"/>
      <c r="I78" s="103"/>
      <c r="J78" s="103"/>
      <c r="K78" s="103"/>
      <c r="L78" s="103"/>
      <c r="M78" s="103"/>
      <c r="N78" s="103"/>
      <c r="O78" s="103"/>
    </row>
    <row r="79" spans="1:16" x14ac:dyDescent="0.25">
      <c r="B79" s="1702"/>
      <c r="C79" s="1702"/>
      <c r="D79" s="103"/>
      <c r="E79" s="103"/>
      <c r="F79" s="103"/>
      <c r="G79" s="103"/>
      <c r="H79" s="103"/>
      <c r="I79" s="103"/>
      <c r="J79" s="103"/>
      <c r="K79" s="103"/>
    </row>
  </sheetData>
  <sheetProtection algorithmName="SHA-512" hashValue="i67Da0ACc0eVWcu2E7VSMtVBF/sCJKxa8Z8aYrSnUn6WV9GtAxQ83ZfLrasJsbJYSUb8O2tWQwsK4OPoCOZZIQ==" saltValue="I7Oht4sFqz6fUOx0kMpswQ==" spinCount="100000" sheet="1" formatCells="0" formatColumns="0" formatRows="0" insertColumns="0" insertRows="0" insertHyperlinks="0" deleteColumns="0" deleteRows="0" sort="0" autoFilter="0" pivotTables="0"/>
  <mergeCells count="7">
    <mergeCell ref="C75:O76"/>
    <mergeCell ref="D16:N16"/>
    <mergeCell ref="C4:N9"/>
    <mergeCell ref="B26:B29"/>
    <mergeCell ref="C26:N29"/>
    <mergeCell ref="B31:B34"/>
    <mergeCell ref="C31:N34"/>
  </mergeCells>
  <phoneticPr fontId="7" type="noConversion"/>
  <dataValidations disablePrompts="1" count="1">
    <dataValidation type="list" showInputMessage="1" showErrorMessage="1" sqref="M10" xr:uid="{00000000-0002-0000-0000-000000000000}">
      <formula1>SLOVNIK</formula1>
    </dataValidation>
  </dataValidations>
  <pageMargins left="0.39370078740157483" right="0.78740157480314965" top="0.98425196850393704" bottom="0.98425196850393704" header="0.51181102362204722" footer="0.51181102362204722"/>
  <pageSetup paperSize="192" scale="48" orientation="landscape" r:id="rId1"/>
  <headerFooter alignWithMargins="0">
    <oddFooter>&amp;L0 Úvod&amp;C&amp;D</oddFooter>
  </headerFooter>
  <ignoredErrors>
    <ignoredError sqref="C71" unlockedFormula="1"/>
  </ignoredError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32">
    <pageSetUpPr fitToPage="1"/>
  </sheetPr>
  <dimension ref="A1:AI42"/>
  <sheetViews>
    <sheetView defaultGridColor="0" colorId="23" zoomScale="80" zoomScaleNormal="80" workbookViewId="0"/>
  </sheetViews>
  <sheetFormatPr defaultColWidth="9.140625" defaultRowHeight="13.5" x14ac:dyDescent="0.3"/>
  <cols>
    <col min="1" max="1" width="2.7109375" style="667" customWidth="1"/>
    <col min="2" max="2" width="5.7109375" style="667" customWidth="1"/>
    <col min="3" max="3" width="36.28515625" style="667" customWidth="1"/>
    <col min="4" max="4" width="12.28515625" style="667" customWidth="1"/>
    <col min="5" max="19" width="10.7109375" style="667" customWidth="1"/>
    <col min="20" max="29" width="10.42578125" style="667" customWidth="1"/>
    <col min="30" max="35" width="7.140625" style="667" customWidth="1"/>
    <col min="36" max="16384" width="9.140625" style="667"/>
  </cols>
  <sheetData>
    <row r="1" spans="1:35" ht="14.25" thickBot="1" x14ac:dyDescent="0.35">
      <c r="A1" s="666" t="s">
        <v>2</v>
      </c>
    </row>
    <row r="2" spans="1:35" ht="12.75" customHeight="1" x14ac:dyDescent="0.3">
      <c r="A2" s="666"/>
      <c r="B2" s="597" t="s">
        <v>22</v>
      </c>
      <c r="C2" s="668"/>
      <c r="D2" s="695"/>
      <c r="E2" s="2363">
        <f>'1 CIN'!G3</f>
        <v>2021</v>
      </c>
      <c r="F2" s="2361">
        <f t="shared" ref="F2:S2" si="0">E2+1</f>
        <v>2022</v>
      </c>
      <c r="G2" s="2361">
        <f t="shared" si="0"/>
        <v>2023</v>
      </c>
      <c r="H2" s="2361">
        <f t="shared" si="0"/>
        <v>2024</v>
      </c>
      <c r="I2" s="2361">
        <f t="shared" si="0"/>
        <v>2025</v>
      </c>
      <c r="J2" s="2361">
        <f t="shared" si="0"/>
        <v>2026</v>
      </c>
      <c r="K2" s="2361">
        <f t="shared" si="0"/>
        <v>2027</v>
      </c>
      <c r="L2" s="2361">
        <f t="shared" si="0"/>
        <v>2028</v>
      </c>
      <c r="M2" s="2361">
        <f t="shared" si="0"/>
        <v>2029</v>
      </c>
      <c r="N2" s="2361">
        <f t="shared" si="0"/>
        <v>2030</v>
      </c>
      <c r="O2" s="2361">
        <f t="shared" si="0"/>
        <v>2031</v>
      </c>
      <c r="P2" s="2361">
        <f t="shared" si="0"/>
        <v>2032</v>
      </c>
      <c r="Q2" s="2361">
        <f t="shared" si="0"/>
        <v>2033</v>
      </c>
      <c r="R2" s="2361">
        <f t="shared" si="0"/>
        <v>2034</v>
      </c>
      <c r="S2" s="2365">
        <f t="shared" si="0"/>
        <v>2035</v>
      </c>
      <c r="T2" s="669"/>
      <c r="U2" s="669"/>
      <c r="V2" s="669"/>
      <c r="W2" s="669"/>
      <c r="X2" s="669"/>
      <c r="Y2" s="669"/>
      <c r="Z2" s="669"/>
      <c r="AA2" s="669"/>
      <c r="AB2" s="669"/>
      <c r="AC2" s="669"/>
    </row>
    <row r="3" spans="1:35" ht="15" thickBot="1" x14ac:dyDescent="0.35">
      <c r="A3" s="666"/>
      <c r="B3" s="694" t="s">
        <v>23</v>
      </c>
      <c r="C3" s="601" t="str">
        <f>IF('0 Úvod'!$M$10="English",Slovnik!$D$425,Slovnik!$C$425)</f>
        <v>Scénář s projektem</v>
      </c>
      <c r="D3" s="696" t="str">
        <f>IF('0 Úvod'!$M$10="English",Slovnik!$D$427,Slovnik!$C$427)</f>
        <v>Celkem</v>
      </c>
      <c r="E3" s="2364"/>
      <c r="F3" s="2362"/>
      <c r="G3" s="2362"/>
      <c r="H3" s="2362"/>
      <c r="I3" s="2362"/>
      <c r="J3" s="2362"/>
      <c r="K3" s="2362"/>
      <c r="L3" s="2362"/>
      <c r="M3" s="2362"/>
      <c r="N3" s="2362"/>
      <c r="O3" s="2362"/>
      <c r="P3" s="2362"/>
      <c r="Q3" s="2362"/>
      <c r="R3" s="2362"/>
      <c r="S3" s="2366"/>
      <c r="T3" s="669"/>
      <c r="U3" s="669"/>
      <c r="V3" s="669"/>
      <c r="W3" s="669"/>
      <c r="X3" s="669"/>
      <c r="Y3" s="669"/>
      <c r="Z3" s="669"/>
      <c r="AA3" s="669"/>
      <c r="AB3" s="669"/>
      <c r="AC3" s="669"/>
    </row>
    <row r="4" spans="1:35" ht="14.25" x14ac:dyDescent="0.3">
      <c r="A4" s="666"/>
      <c r="B4" s="705"/>
      <c r="C4" s="670" t="s">
        <v>1415</v>
      </c>
      <c r="D4" s="605">
        <f>SUM(E4:S4,E12:S12)</f>
        <v>5897330.46</v>
      </c>
      <c r="E4" s="691"/>
      <c r="F4" s="691"/>
      <c r="G4" s="691">
        <f>('4 PN vozidel'!G109*'4 PN vozidel'!$B$109-'4 PN vozidel'!G84*'4 PN vozidel'!$B$84)*'12 Ekonomická analýza (ERR)'!E15</f>
        <v>5897330.46</v>
      </c>
      <c r="H4" s="691"/>
      <c r="I4" s="691"/>
      <c r="J4" s="691"/>
      <c r="K4" s="691"/>
      <c r="L4" s="691"/>
      <c r="M4" s="691"/>
      <c r="N4" s="691"/>
      <c r="O4" s="691"/>
      <c r="P4" s="691"/>
      <c r="Q4" s="691"/>
      <c r="R4" s="691"/>
      <c r="S4" s="691"/>
      <c r="T4" s="2025"/>
      <c r="U4" s="587"/>
      <c r="V4" s="587"/>
      <c r="W4" s="587"/>
      <c r="X4" s="587"/>
      <c r="Y4" s="587"/>
      <c r="Z4" s="587"/>
      <c r="AA4" s="587"/>
      <c r="AB4" s="587"/>
      <c r="AC4" s="587"/>
    </row>
    <row r="5" spans="1:35" ht="14.25" x14ac:dyDescent="0.3">
      <c r="A5" s="666"/>
      <c r="B5" s="705"/>
      <c r="C5" s="2133"/>
      <c r="D5" s="608">
        <f>SUM(E5:S5,E13:S13)</f>
        <v>0</v>
      </c>
      <c r="E5" s="691"/>
      <c r="F5" s="691"/>
      <c r="G5" s="691"/>
      <c r="H5" s="691"/>
      <c r="I5" s="691"/>
      <c r="J5" s="691"/>
      <c r="K5" s="691"/>
      <c r="L5" s="691"/>
      <c r="M5" s="691"/>
      <c r="N5" s="691"/>
      <c r="O5" s="691"/>
      <c r="P5" s="691"/>
      <c r="Q5" s="691"/>
      <c r="R5" s="691"/>
      <c r="S5" s="691"/>
      <c r="T5" s="2025"/>
      <c r="U5" s="587"/>
      <c r="V5" s="587"/>
      <c r="W5" s="587"/>
      <c r="X5" s="587"/>
      <c r="Y5" s="587"/>
      <c r="Z5" s="587"/>
      <c r="AA5" s="587"/>
      <c r="AB5" s="587"/>
      <c r="AC5" s="587"/>
    </row>
    <row r="6" spans="1:35" ht="14.25" x14ac:dyDescent="0.3">
      <c r="A6" s="666"/>
      <c r="B6" s="705"/>
      <c r="C6" s="2133"/>
      <c r="D6" s="608">
        <f>SUM(E6:S6,E14:S14)</f>
        <v>0</v>
      </c>
      <c r="E6" s="691"/>
      <c r="F6" s="691"/>
      <c r="G6" s="691"/>
      <c r="H6" s="691"/>
      <c r="I6" s="691"/>
      <c r="J6" s="691"/>
      <c r="K6" s="691"/>
      <c r="L6" s="691"/>
      <c r="M6" s="691"/>
      <c r="N6" s="691"/>
      <c r="O6" s="691"/>
      <c r="P6" s="691"/>
      <c r="Q6" s="691"/>
      <c r="R6" s="691"/>
      <c r="S6" s="691"/>
      <c r="T6" s="2025"/>
      <c r="U6" s="587"/>
      <c r="V6" s="587"/>
      <c r="W6" s="587"/>
      <c r="X6" s="587"/>
      <c r="Y6" s="587"/>
      <c r="Z6" s="587"/>
      <c r="AA6" s="587"/>
      <c r="AB6" s="587"/>
      <c r="AC6" s="587"/>
    </row>
    <row r="7" spans="1:35" ht="14.25" x14ac:dyDescent="0.3">
      <c r="A7" s="666"/>
      <c r="B7" s="706"/>
      <c r="C7" s="2133"/>
      <c r="D7" s="1238">
        <f>SUM(E7:S7,E15:S15)</f>
        <v>0</v>
      </c>
      <c r="E7" s="691"/>
      <c r="F7" s="691"/>
      <c r="G7" s="691"/>
      <c r="H7" s="691"/>
      <c r="I7" s="691"/>
      <c r="J7" s="691"/>
      <c r="K7" s="691"/>
      <c r="L7" s="691"/>
      <c r="M7" s="691"/>
      <c r="N7" s="691"/>
      <c r="O7" s="691"/>
      <c r="P7" s="691"/>
      <c r="Q7" s="691"/>
      <c r="R7" s="691"/>
      <c r="S7" s="691"/>
      <c r="T7" s="2025"/>
      <c r="U7" s="587"/>
      <c r="V7" s="587"/>
      <c r="W7" s="587"/>
      <c r="X7" s="587"/>
      <c r="Y7" s="587"/>
      <c r="Z7" s="587"/>
      <c r="AA7" s="587"/>
      <c r="AB7" s="587"/>
      <c r="AC7" s="587"/>
    </row>
    <row r="8" spans="1:35" ht="15" thickBot="1" x14ac:dyDescent="0.35">
      <c r="A8" s="666"/>
      <c r="B8" s="768"/>
      <c r="C8" s="2134" t="str">
        <f>IF('0 Úvod'!$M$10="English",Slovnik!$D$426,Slovnik!$C$426)</f>
        <v>Celkové ostatní přínosy (CZK)</v>
      </c>
      <c r="D8" s="769">
        <f>SUM(E8:S8,E16:S16)</f>
        <v>5897330.46</v>
      </c>
      <c r="E8" s="2130">
        <f>SUM(E4:E7)</f>
        <v>0</v>
      </c>
      <c r="F8" s="2131">
        <f>SUM(F4:F7)</f>
        <v>0</v>
      </c>
      <c r="G8" s="2131">
        <f t="shared" ref="G8:S8" si="1">SUM(G4:G7)</f>
        <v>5897330.46</v>
      </c>
      <c r="H8" s="2131">
        <f t="shared" si="1"/>
        <v>0</v>
      </c>
      <c r="I8" s="2131">
        <f t="shared" si="1"/>
        <v>0</v>
      </c>
      <c r="J8" s="2131">
        <f t="shared" si="1"/>
        <v>0</v>
      </c>
      <c r="K8" s="2131">
        <f t="shared" si="1"/>
        <v>0</v>
      </c>
      <c r="L8" s="2131">
        <f t="shared" si="1"/>
        <v>0</v>
      </c>
      <c r="M8" s="2131">
        <f t="shared" si="1"/>
        <v>0</v>
      </c>
      <c r="N8" s="2131">
        <f t="shared" si="1"/>
        <v>0</v>
      </c>
      <c r="O8" s="2131">
        <f t="shared" si="1"/>
        <v>0</v>
      </c>
      <c r="P8" s="2131">
        <f t="shared" si="1"/>
        <v>0</v>
      </c>
      <c r="Q8" s="2131">
        <f t="shared" si="1"/>
        <v>0</v>
      </c>
      <c r="R8" s="2131">
        <f t="shared" si="1"/>
        <v>0</v>
      </c>
      <c r="S8" s="2132">
        <f t="shared" si="1"/>
        <v>0</v>
      </c>
      <c r="T8" s="593"/>
      <c r="U8" s="593"/>
      <c r="V8" s="593"/>
      <c r="W8" s="593"/>
      <c r="X8" s="593"/>
      <c r="Y8" s="593"/>
      <c r="Z8" s="593"/>
      <c r="AA8" s="593"/>
      <c r="AB8" s="593"/>
      <c r="AC8" s="593"/>
    </row>
    <row r="9" spans="1:35" ht="14.25" thickBot="1" x14ac:dyDescent="0.35">
      <c r="A9" s="666"/>
      <c r="B9" s="671"/>
      <c r="C9" s="666"/>
      <c r="D9" s="672"/>
      <c r="E9" s="673"/>
      <c r="F9" s="673"/>
      <c r="G9" s="673"/>
      <c r="H9" s="673"/>
      <c r="I9" s="673"/>
      <c r="J9" s="673"/>
      <c r="K9" s="673"/>
      <c r="L9" s="673"/>
      <c r="M9" s="673"/>
      <c r="N9" s="673"/>
      <c r="O9" s="673"/>
      <c r="P9" s="673"/>
      <c r="Q9" s="673"/>
      <c r="R9" s="673"/>
      <c r="S9" s="673"/>
      <c r="T9" s="590"/>
      <c r="U9" s="590"/>
      <c r="V9" s="590"/>
      <c r="W9" s="590"/>
      <c r="X9" s="590"/>
      <c r="Y9" s="590"/>
      <c r="Z9" s="590"/>
      <c r="AA9" s="590"/>
      <c r="AB9" s="590"/>
      <c r="AC9" s="590"/>
    </row>
    <row r="10" spans="1:35" ht="14.25" x14ac:dyDescent="0.3">
      <c r="A10" s="666"/>
      <c r="B10" s="597" t="s">
        <v>22</v>
      </c>
      <c r="C10" s="674"/>
      <c r="D10" s="695"/>
      <c r="E10" s="2363">
        <f>S2+1</f>
        <v>2036</v>
      </c>
      <c r="F10" s="2361">
        <f t="shared" ref="F10:S10" si="2">E10+1</f>
        <v>2037</v>
      </c>
      <c r="G10" s="2361">
        <f t="shared" si="2"/>
        <v>2038</v>
      </c>
      <c r="H10" s="2361">
        <f t="shared" si="2"/>
        <v>2039</v>
      </c>
      <c r="I10" s="2361">
        <f t="shared" si="2"/>
        <v>2040</v>
      </c>
      <c r="J10" s="2361">
        <f t="shared" si="2"/>
        <v>2041</v>
      </c>
      <c r="K10" s="2361">
        <f t="shared" si="2"/>
        <v>2042</v>
      </c>
      <c r="L10" s="2361">
        <f t="shared" si="2"/>
        <v>2043</v>
      </c>
      <c r="M10" s="2361">
        <f t="shared" si="2"/>
        <v>2044</v>
      </c>
      <c r="N10" s="2361">
        <f t="shared" si="2"/>
        <v>2045</v>
      </c>
      <c r="O10" s="2361">
        <f t="shared" si="2"/>
        <v>2046</v>
      </c>
      <c r="P10" s="2361">
        <f t="shared" si="2"/>
        <v>2047</v>
      </c>
      <c r="Q10" s="2361">
        <f t="shared" si="2"/>
        <v>2048</v>
      </c>
      <c r="R10" s="2361">
        <f t="shared" si="2"/>
        <v>2049</v>
      </c>
      <c r="S10" s="2365">
        <f t="shared" si="2"/>
        <v>2050</v>
      </c>
      <c r="T10" s="669"/>
      <c r="U10" s="669"/>
      <c r="V10" s="669"/>
      <c r="W10" s="669"/>
      <c r="X10" s="669"/>
      <c r="Y10" s="669"/>
      <c r="Z10" s="669"/>
      <c r="AA10" s="669"/>
      <c r="AB10" s="669"/>
      <c r="AC10" s="669"/>
    </row>
    <row r="11" spans="1:35" s="666" customFormat="1" ht="15" thickBot="1" x14ac:dyDescent="0.35">
      <c r="B11" s="698" t="s">
        <v>24</v>
      </c>
      <c r="C11" s="601" t="str">
        <f>C3</f>
        <v>Scénář s projektem</v>
      </c>
      <c r="D11" s="697"/>
      <c r="E11" s="2364"/>
      <c r="F11" s="2362"/>
      <c r="G11" s="2362"/>
      <c r="H11" s="2362"/>
      <c r="I11" s="2362"/>
      <c r="J11" s="2362"/>
      <c r="K11" s="2362"/>
      <c r="L11" s="2362"/>
      <c r="M11" s="2362"/>
      <c r="N11" s="2362"/>
      <c r="O11" s="2362"/>
      <c r="P11" s="2362"/>
      <c r="Q11" s="2362"/>
      <c r="R11" s="2362"/>
      <c r="S11" s="2366"/>
      <c r="T11" s="669"/>
      <c r="U11" s="669"/>
      <c r="V11" s="669"/>
      <c r="W11" s="669"/>
      <c r="X11" s="669"/>
      <c r="Y11" s="669"/>
      <c r="Z11" s="669"/>
      <c r="AA11" s="669"/>
      <c r="AB11" s="669"/>
      <c r="AC11" s="669"/>
      <c r="AD11" s="667"/>
      <c r="AE11" s="667"/>
      <c r="AF11" s="667"/>
      <c r="AG11" s="667"/>
      <c r="AH11" s="667"/>
      <c r="AI11" s="667"/>
    </row>
    <row r="12" spans="1:35" s="666" customFormat="1" ht="14.25" x14ac:dyDescent="0.3">
      <c r="B12" s="707"/>
      <c r="C12" s="670" t="str">
        <f>IF(C4="","",C4)</f>
        <v>Náklady náhradní autobusové dopravy</v>
      </c>
      <c r="D12" s="658"/>
      <c r="E12" s="693"/>
      <c r="F12" s="693"/>
      <c r="G12" s="693"/>
      <c r="H12" s="693"/>
      <c r="I12" s="693"/>
      <c r="J12" s="693"/>
      <c r="K12" s="693"/>
      <c r="L12" s="693"/>
      <c r="M12" s="693"/>
      <c r="N12" s="693"/>
      <c r="O12" s="693"/>
      <c r="P12" s="693"/>
      <c r="Q12" s="693"/>
      <c r="R12" s="693"/>
      <c r="S12" s="693"/>
      <c r="T12" s="1981"/>
      <c r="U12" s="590"/>
      <c r="V12" s="590"/>
      <c r="W12" s="590"/>
      <c r="X12" s="590"/>
      <c r="Y12" s="590"/>
      <c r="Z12" s="590"/>
      <c r="AA12" s="590"/>
      <c r="AB12" s="590"/>
      <c r="AC12" s="590"/>
      <c r="AD12" s="667"/>
      <c r="AE12" s="667"/>
      <c r="AF12" s="667"/>
      <c r="AG12" s="667"/>
      <c r="AH12" s="667"/>
      <c r="AI12" s="667"/>
    </row>
    <row r="13" spans="1:35" s="666" customFormat="1" ht="14.25" x14ac:dyDescent="0.3">
      <c r="B13" s="705"/>
      <c r="C13" s="670" t="str">
        <f>IF(C5="","",C5)</f>
        <v/>
      </c>
      <c r="D13" s="625"/>
      <c r="E13" s="693"/>
      <c r="F13" s="693"/>
      <c r="G13" s="693"/>
      <c r="H13" s="693"/>
      <c r="I13" s="693"/>
      <c r="J13" s="693"/>
      <c r="K13" s="693"/>
      <c r="L13" s="693"/>
      <c r="M13" s="693"/>
      <c r="N13" s="693"/>
      <c r="O13" s="693"/>
      <c r="P13" s="693"/>
      <c r="Q13" s="693"/>
      <c r="R13" s="693"/>
      <c r="S13" s="693"/>
      <c r="T13" s="1981"/>
      <c r="U13" s="590"/>
      <c r="V13" s="590"/>
      <c r="W13" s="590"/>
      <c r="X13" s="590"/>
      <c r="Y13" s="590"/>
      <c r="Z13" s="590"/>
      <c r="AA13" s="590"/>
      <c r="AB13" s="590"/>
      <c r="AC13" s="590"/>
      <c r="AD13" s="667"/>
      <c r="AE13" s="667"/>
      <c r="AF13" s="667"/>
      <c r="AG13" s="667"/>
      <c r="AH13" s="667"/>
      <c r="AI13" s="667"/>
    </row>
    <row r="14" spans="1:35" s="666" customFormat="1" ht="14.25" x14ac:dyDescent="0.3">
      <c r="B14" s="705"/>
      <c r="C14" s="670" t="str">
        <f>IF(C6="","",C6)</f>
        <v/>
      </c>
      <c r="D14" s="625"/>
      <c r="E14" s="693"/>
      <c r="F14" s="693"/>
      <c r="G14" s="693"/>
      <c r="H14" s="693"/>
      <c r="I14" s="693"/>
      <c r="J14" s="693"/>
      <c r="K14" s="693"/>
      <c r="L14" s="693"/>
      <c r="M14" s="693"/>
      <c r="N14" s="693"/>
      <c r="O14" s="693"/>
      <c r="P14" s="693"/>
      <c r="Q14" s="693"/>
      <c r="R14" s="693"/>
      <c r="S14" s="693"/>
      <c r="T14" s="1981"/>
      <c r="U14" s="590"/>
      <c r="V14" s="590"/>
      <c r="W14" s="590"/>
      <c r="X14" s="590"/>
      <c r="Y14" s="590"/>
      <c r="Z14" s="590"/>
      <c r="AA14" s="590"/>
      <c r="AB14" s="590"/>
      <c r="AC14" s="590"/>
      <c r="AD14" s="667"/>
      <c r="AE14" s="667"/>
      <c r="AF14" s="667"/>
      <c r="AG14" s="667"/>
      <c r="AH14" s="667"/>
      <c r="AI14" s="667"/>
    </row>
    <row r="15" spans="1:35" s="666" customFormat="1" ht="14.25" x14ac:dyDescent="0.3">
      <c r="B15" s="706"/>
      <c r="C15" s="670" t="str">
        <f>IF(C7="","",C7)</f>
        <v/>
      </c>
      <c r="D15" s="1240"/>
      <c r="E15" s="693"/>
      <c r="F15" s="693"/>
      <c r="G15" s="693"/>
      <c r="H15" s="693"/>
      <c r="I15" s="693"/>
      <c r="J15" s="693"/>
      <c r="K15" s="693"/>
      <c r="L15" s="693"/>
      <c r="M15" s="693"/>
      <c r="N15" s="693"/>
      <c r="O15" s="693"/>
      <c r="P15" s="693"/>
      <c r="Q15" s="693"/>
      <c r="R15" s="693"/>
      <c r="S15" s="693"/>
      <c r="T15" s="1981"/>
      <c r="U15" s="590"/>
      <c r="V15" s="590"/>
      <c r="W15" s="590"/>
      <c r="X15" s="590"/>
      <c r="Y15" s="590"/>
      <c r="Z15" s="590"/>
      <c r="AA15" s="590"/>
      <c r="AB15" s="590"/>
      <c r="AC15" s="590"/>
      <c r="AD15" s="667"/>
      <c r="AE15" s="667"/>
      <c r="AF15" s="667"/>
      <c r="AG15" s="667"/>
      <c r="AH15" s="667"/>
      <c r="AI15" s="667"/>
    </row>
    <row r="16" spans="1:35" ht="15" thickBot="1" x14ac:dyDescent="0.35">
      <c r="A16" s="675"/>
      <c r="B16" s="768"/>
      <c r="C16" s="2135" t="str">
        <f>C8</f>
        <v>Celkové ostatní přínosy (CZK)</v>
      </c>
      <c r="D16" s="770"/>
      <c r="E16" s="2130">
        <f t="shared" ref="E16:S16" si="3">SUM(E12:E15)</f>
        <v>0</v>
      </c>
      <c r="F16" s="2131">
        <f t="shared" si="3"/>
        <v>0</v>
      </c>
      <c r="G16" s="2131">
        <f t="shared" si="3"/>
        <v>0</v>
      </c>
      <c r="H16" s="2131">
        <f t="shared" si="3"/>
        <v>0</v>
      </c>
      <c r="I16" s="2131">
        <f t="shared" si="3"/>
        <v>0</v>
      </c>
      <c r="J16" s="2131">
        <f t="shared" si="3"/>
        <v>0</v>
      </c>
      <c r="K16" s="2131">
        <f t="shared" si="3"/>
        <v>0</v>
      </c>
      <c r="L16" s="2131">
        <f t="shared" si="3"/>
        <v>0</v>
      </c>
      <c r="M16" s="2131">
        <f t="shared" si="3"/>
        <v>0</v>
      </c>
      <c r="N16" s="2131">
        <f t="shared" si="3"/>
        <v>0</v>
      </c>
      <c r="O16" s="2131">
        <f t="shared" si="3"/>
        <v>0</v>
      </c>
      <c r="P16" s="2131">
        <f t="shared" si="3"/>
        <v>0</v>
      </c>
      <c r="Q16" s="2131">
        <f t="shared" si="3"/>
        <v>0</v>
      </c>
      <c r="R16" s="2131">
        <f t="shared" si="3"/>
        <v>0</v>
      </c>
      <c r="S16" s="2132">
        <f t="shared" si="3"/>
        <v>0</v>
      </c>
      <c r="T16" s="593"/>
      <c r="U16" s="593"/>
      <c r="V16" s="593"/>
      <c r="W16" s="593"/>
      <c r="X16" s="593"/>
      <c r="Y16" s="593"/>
      <c r="Z16" s="593"/>
      <c r="AA16" s="593"/>
      <c r="AB16" s="593"/>
      <c r="AC16" s="593"/>
    </row>
    <row r="17" spans="1:29" ht="14.25" x14ac:dyDescent="0.3">
      <c r="A17" s="675"/>
      <c r="B17" s="676"/>
      <c r="C17" s="677"/>
      <c r="D17" s="678"/>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row>
    <row r="18" spans="1:29" ht="14.25" thickBot="1" x14ac:dyDescent="0.35">
      <c r="A18" s="666"/>
      <c r="B18" s="676"/>
      <c r="C18" s="666"/>
      <c r="D18" s="590"/>
      <c r="E18" s="590"/>
      <c r="F18" s="590"/>
      <c r="G18" s="590"/>
      <c r="H18" s="590"/>
      <c r="I18" s="590"/>
      <c r="J18" s="590"/>
      <c r="K18" s="590"/>
      <c r="L18" s="590"/>
      <c r="M18" s="590"/>
      <c r="N18" s="590"/>
      <c r="O18" s="590"/>
      <c r="P18" s="590"/>
      <c r="Q18" s="590"/>
      <c r="R18" s="590"/>
      <c r="S18" s="590"/>
      <c r="T18" s="590"/>
      <c r="U18" s="590"/>
      <c r="V18" s="590"/>
      <c r="W18" s="590"/>
      <c r="X18" s="590"/>
      <c r="Y18" s="590"/>
      <c r="Z18" s="590"/>
      <c r="AA18" s="590"/>
      <c r="AB18" s="590"/>
      <c r="AC18" s="590"/>
    </row>
    <row r="19" spans="1:29" s="666" customFormat="1" ht="12.75" customHeight="1" x14ac:dyDescent="0.3">
      <c r="B19" s="645" t="s">
        <v>158</v>
      </c>
      <c r="C19" s="1908">
        <f>C2</f>
        <v>0</v>
      </c>
      <c r="D19" s="647"/>
      <c r="E19" s="2377">
        <f>E2</f>
        <v>2021</v>
      </c>
      <c r="F19" s="2377">
        <f t="shared" ref="F19:S19" si="4">E19+1</f>
        <v>2022</v>
      </c>
      <c r="G19" s="2377">
        <f t="shared" si="4"/>
        <v>2023</v>
      </c>
      <c r="H19" s="2377">
        <f t="shared" si="4"/>
        <v>2024</v>
      </c>
      <c r="I19" s="2377">
        <f t="shared" si="4"/>
        <v>2025</v>
      </c>
      <c r="J19" s="2377">
        <f t="shared" si="4"/>
        <v>2026</v>
      </c>
      <c r="K19" s="2377">
        <f t="shared" si="4"/>
        <v>2027</v>
      </c>
      <c r="L19" s="2377">
        <f t="shared" si="4"/>
        <v>2028</v>
      </c>
      <c r="M19" s="2377">
        <f t="shared" si="4"/>
        <v>2029</v>
      </c>
      <c r="N19" s="2377">
        <f t="shared" si="4"/>
        <v>2030</v>
      </c>
      <c r="O19" s="2377">
        <f t="shared" si="4"/>
        <v>2031</v>
      </c>
      <c r="P19" s="2377">
        <f t="shared" si="4"/>
        <v>2032</v>
      </c>
      <c r="Q19" s="2377">
        <f t="shared" si="4"/>
        <v>2033</v>
      </c>
      <c r="R19" s="2377">
        <f t="shared" si="4"/>
        <v>2034</v>
      </c>
      <c r="S19" s="2383">
        <f t="shared" si="4"/>
        <v>2035</v>
      </c>
      <c r="T19" s="669"/>
      <c r="U19" s="669"/>
      <c r="V19" s="669"/>
      <c r="W19" s="669"/>
      <c r="X19" s="669"/>
      <c r="Y19" s="669"/>
      <c r="Z19" s="669"/>
      <c r="AA19" s="669"/>
      <c r="AB19" s="669"/>
      <c r="AC19" s="669"/>
    </row>
    <row r="20" spans="1:29" s="666" customFormat="1" ht="12.75" customHeight="1" thickBot="1" x14ac:dyDescent="0.35">
      <c r="A20" s="680"/>
      <c r="B20" s="699" t="s">
        <v>23</v>
      </c>
      <c r="C20" s="700" t="str">
        <f>C3</f>
        <v>Scénář s projektem</v>
      </c>
      <c r="D20" s="650" t="str">
        <f>D3</f>
        <v>Celkem</v>
      </c>
      <c r="E20" s="2572"/>
      <c r="F20" s="2572"/>
      <c r="G20" s="2572"/>
      <c r="H20" s="2572"/>
      <c r="I20" s="2572"/>
      <c r="J20" s="2572"/>
      <c r="K20" s="2572"/>
      <c r="L20" s="2572"/>
      <c r="M20" s="2572"/>
      <c r="N20" s="2572"/>
      <c r="O20" s="2572"/>
      <c r="P20" s="2572"/>
      <c r="Q20" s="2572"/>
      <c r="R20" s="2572"/>
      <c r="S20" s="2573"/>
      <c r="T20" s="669"/>
      <c r="U20" s="669"/>
      <c r="V20" s="669"/>
      <c r="W20" s="669"/>
      <c r="X20" s="669"/>
      <c r="Y20" s="669"/>
      <c r="Z20" s="669"/>
      <c r="AA20" s="669"/>
      <c r="AB20" s="669"/>
      <c r="AC20" s="669"/>
    </row>
    <row r="21" spans="1:29" s="666" customFormat="1" ht="12.75" customHeight="1" x14ac:dyDescent="0.3">
      <c r="A21" s="680"/>
      <c r="B21" s="705"/>
      <c r="C21" s="708" t="str">
        <f>IF(C4="","",C4)</f>
        <v>Náklady náhradní autobusové dopravy</v>
      </c>
      <c r="D21" s="608">
        <f>SUM(E21:S21,E29:S29)</f>
        <v>5897330.46</v>
      </c>
      <c r="E21" s="759">
        <f t="shared" ref="E21:S24" si="5">E4</f>
        <v>0</v>
      </c>
      <c r="F21" s="760">
        <f t="shared" si="5"/>
        <v>0</v>
      </c>
      <c r="G21" s="760">
        <f t="shared" si="5"/>
        <v>5897330.46</v>
      </c>
      <c r="H21" s="760">
        <f t="shared" si="5"/>
        <v>0</v>
      </c>
      <c r="I21" s="760">
        <f t="shared" si="5"/>
        <v>0</v>
      </c>
      <c r="J21" s="760">
        <f t="shared" si="5"/>
        <v>0</v>
      </c>
      <c r="K21" s="760">
        <f t="shared" si="5"/>
        <v>0</v>
      </c>
      <c r="L21" s="760">
        <f t="shared" si="5"/>
        <v>0</v>
      </c>
      <c r="M21" s="760">
        <f t="shared" si="5"/>
        <v>0</v>
      </c>
      <c r="N21" s="760">
        <f t="shared" si="5"/>
        <v>0</v>
      </c>
      <c r="O21" s="760">
        <f t="shared" si="5"/>
        <v>0</v>
      </c>
      <c r="P21" s="760">
        <f t="shared" si="5"/>
        <v>0</v>
      </c>
      <c r="Q21" s="760">
        <f t="shared" si="5"/>
        <v>0</v>
      </c>
      <c r="R21" s="760">
        <f t="shared" si="5"/>
        <v>0</v>
      </c>
      <c r="S21" s="761">
        <f t="shared" si="5"/>
        <v>0</v>
      </c>
      <c r="T21" s="593"/>
      <c r="U21" s="593"/>
      <c r="V21" s="593"/>
      <c r="W21" s="593"/>
      <c r="X21" s="593"/>
      <c r="Y21" s="593"/>
      <c r="Z21" s="593"/>
      <c r="AA21" s="593"/>
      <c r="AB21" s="593"/>
      <c r="AC21" s="593"/>
    </row>
    <row r="22" spans="1:29" s="666" customFormat="1" ht="12.75" customHeight="1" x14ac:dyDescent="0.3">
      <c r="A22" s="680"/>
      <c r="B22" s="705"/>
      <c r="C22" s="708" t="str">
        <f>IF(C5="","",C5)</f>
        <v/>
      </c>
      <c r="D22" s="608">
        <f>SUM(E22:S22,E30:S30)</f>
        <v>0</v>
      </c>
      <c r="E22" s="762">
        <f t="shared" si="5"/>
        <v>0</v>
      </c>
      <c r="F22" s="763">
        <f t="shared" si="5"/>
        <v>0</v>
      </c>
      <c r="G22" s="763">
        <f t="shared" si="5"/>
        <v>0</v>
      </c>
      <c r="H22" s="763">
        <f t="shared" si="5"/>
        <v>0</v>
      </c>
      <c r="I22" s="763">
        <f t="shared" si="5"/>
        <v>0</v>
      </c>
      <c r="J22" s="763">
        <f t="shared" si="5"/>
        <v>0</v>
      </c>
      <c r="K22" s="763">
        <f t="shared" si="5"/>
        <v>0</v>
      </c>
      <c r="L22" s="763">
        <f t="shared" si="5"/>
        <v>0</v>
      </c>
      <c r="M22" s="763">
        <f t="shared" si="5"/>
        <v>0</v>
      </c>
      <c r="N22" s="763">
        <f t="shared" si="5"/>
        <v>0</v>
      </c>
      <c r="O22" s="763">
        <f t="shared" si="5"/>
        <v>0</v>
      </c>
      <c r="P22" s="763">
        <f t="shared" si="5"/>
        <v>0</v>
      </c>
      <c r="Q22" s="763">
        <f t="shared" si="5"/>
        <v>0</v>
      </c>
      <c r="R22" s="763">
        <f t="shared" si="5"/>
        <v>0</v>
      </c>
      <c r="S22" s="764">
        <f t="shared" si="5"/>
        <v>0</v>
      </c>
      <c r="T22" s="593"/>
      <c r="U22" s="593"/>
      <c r="V22" s="593"/>
      <c r="W22" s="593"/>
      <c r="X22" s="593"/>
      <c r="Y22" s="593"/>
      <c r="Z22" s="593"/>
      <c r="AA22" s="593"/>
      <c r="AB22" s="593"/>
      <c r="AC22" s="593"/>
    </row>
    <row r="23" spans="1:29" s="666" customFormat="1" ht="12.75" customHeight="1" x14ac:dyDescent="0.3">
      <c r="A23" s="680"/>
      <c r="B23" s="705"/>
      <c r="C23" s="708" t="str">
        <f>IF(C6="","",C6)</f>
        <v/>
      </c>
      <c r="D23" s="608">
        <f>SUM(E23:S23,E31:S31)</f>
        <v>0</v>
      </c>
      <c r="E23" s="762">
        <f t="shared" si="5"/>
        <v>0</v>
      </c>
      <c r="F23" s="763">
        <f t="shared" si="5"/>
        <v>0</v>
      </c>
      <c r="G23" s="763">
        <f t="shared" si="5"/>
        <v>0</v>
      </c>
      <c r="H23" s="763">
        <f t="shared" si="5"/>
        <v>0</v>
      </c>
      <c r="I23" s="763">
        <f t="shared" si="5"/>
        <v>0</v>
      </c>
      <c r="J23" s="763">
        <f t="shared" si="5"/>
        <v>0</v>
      </c>
      <c r="K23" s="763">
        <f t="shared" si="5"/>
        <v>0</v>
      </c>
      <c r="L23" s="763">
        <f t="shared" si="5"/>
        <v>0</v>
      </c>
      <c r="M23" s="763">
        <f t="shared" si="5"/>
        <v>0</v>
      </c>
      <c r="N23" s="763">
        <f t="shared" si="5"/>
        <v>0</v>
      </c>
      <c r="O23" s="763">
        <f t="shared" si="5"/>
        <v>0</v>
      </c>
      <c r="P23" s="763">
        <f t="shared" si="5"/>
        <v>0</v>
      </c>
      <c r="Q23" s="763">
        <f t="shared" si="5"/>
        <v>0</v>
      </c>
      <c r="R23" s="763">
        <f t="shared" si="5"/>
        <v>0</v>
      </c>
      <c r="S23" s="764">
        <f t="shared" si="5"/>
        <v>0</v>
      </c>
      <c r="T23" s="593"/>
      <c r="U23" s="593"/>
      <c r="V23" s="593"/>
      <c r="W23" s="593"/>
      <c r="X23" s="593"/>
      <c r="Y23" s="593"/>
      <c r="Z23" s="593"/>
      <c r="AA23" s="593"/>
      <c r="AB23" s="593"/>
      <c r="AC23" s="593"/>
    </row>
    <row r="24" spans="1:29" s="666" customFormat="1" ht="12.75" customHeight="1" x14ac:dyDescent="0.3">
      <c r="A24" s="680"/>
      <c r="B24" s="706"/>
      <c r="C24" s="709" t="str">
        <f>IF(C7="","",C7)</f>
        <v/>
      </c>
      <c r="D24" s="608">
        <f>SUM(E24:S24,E32:S32)</f>
        <v>0</v>
      </c>
      <c r="E24" s="765">
        <f t="shared" si="5"/>
        <v>0</v>
      </c>
      <c r="F24" s="766">
        <f t="shared" si="5"/>
        <v>0</v>
      </c>
      <c r="G24" s="766">
        <f t="shared" si="5"/>
        <v>0</v>
      </c>
      <c r="H24" s="766">
        <f t="shared" si="5"/>
        <v>0</v>
      </c>
      <c r="I24" s="766">
        <f t="shared" si="5"/>
        <v>0</v>
      </c>
      <c r="J24" s="766">
        <f t="shared" si="5"/>
        <v>0</v>
      </c>
      <c r="K24" s="766">
        <f t="shared" si="5"/>
        <v>0</v>
      </c>
      <c r="L24" s="766">
        <f t="shared" si="5"/>
        <v>0</v>
      </c>
      <c r="M24" s="766">
        <f t="shared" si="5"/>
        <v>0</v>
      </c>
      <c r="N24" s="766">
        <f t="shared" si="5"/>
        <v>0</v>
      </c>
      <c r="O24" s="766">
        <f t="shared" si="5"/>
        <v>0</v>
      </c>
      <c r="P24" s="766">
        <f t="shared" si="5"/>
        <v>0</v>
      </c>
      <c r="Q24" s="766">
        <f t="shared" si="5"/>
        <v>0</v>
      </c>
      <c r="R24" s="766">
        <f t="shared" si="5"/>
        <v>0</v>
      </c>
      <c r="S24" s="767">
        <f t="shared" si="5"/>
        <v>0</v>
      </c>
      <c r="T24" s="593"/>
      <c r="U24" s="593"/>
      <c r="V24" s="593"/>
      <c r="W24" s="593"/>
      <c r="X24" s="593"/>
      <c r="Y24" s="593"/>
      <c r="Z24" s="593"/>
      <c r="AA24" s="593"/>
      <c r="AB24" s="593"/>
      <c r="AC24" s="593"/>
    </row>
    <row r="25" spans="1:29" s="666" customFormat="1" ht="15" thickBot="1" x14ac:dyDescent="0.35">
      <c r="B25" s="771"/>
      <c r="C25" s="772" t="str">
        <f>C16</f>
        <v>Celkové ostatní přínosy (CZK)</v>
      </c>
      <c r="D25" s="654">
        <f>SUM(E25:S25,E33:S33)</f>
        <v>5897330.46</v>
      </c>
      <c r="E25" s="773">
        <f>SUM(E21:E24)</f>
        <v>0</v>
      </c>
      <c r="F25" s="774">
        <f t="shared" ref="F25:S25" si="6">SUM(F21:F24)</f>
        <v>0</v>
      </c>
      <c r="G25" s="774">
        <f t="shared" si="6"/>
        <v>5897330.46</v>
      </c>
      <c r="H25" s="774">
        <f t="shared" si="6"/>
        <v>0</v>
      </c>
      <c r="I25" s="774">
        <f t="shared" si="6"/>
        <v>0</v>
      </c>
      <c r="J25" s="774">
        <f t="shared" si="6"/>
        <v>0</v>
      </c>
      <c r="K25" s="774">
        <f t="shared" si="6"/>
        <v>0</v>
      </c>
      <c r="L25" s="774">
        <f t="shared" si="6"/>
        <v>0</v>
      </c>
      <c r="M25" s="774">
        <f t="shared" si="6"/>
        <v>0</v>
      </c>
      <c r="N25" s="774">
        <f t="shared" si="6"/>
        <v>0</v>
      </c>
      <c r="O25" s="774">
        <f t="shared" si="6"/>
        <v>0</v>
      </c>
      <c r="P25" s="774">
        <f t="shared" si="6"/>
        <v>0</v>
      </c>
      <c r="Q25" s="774">
        <f t="shared" si="6"/>
        <v>0</v>
      </c>
      <c r="R25" s="774">
        <f t="shared" si="6"/>
        <v>0</v>
      </c>
      <c r="S25" s="775">
        <f t="shared" si="6"/>
        <v>0</v>
      </c>
      <c r="T25" s="593"/>
      <c r="U25" s="593"/>
      <c r="V25" s="593"/>
      <c r="W25" s="593"/>
      <c r="X25" s="593"/>
      <c r="Y25" s="593"/>
      <c r="Z25" s="593"/>
      <c r="AA25" s="593"/>
      <c r="AB25" s="593"/>
      <c r="AC25" s="593"/>
    </row>
    <row r="26" spans="1:29" s="666" customFormat="1" ht="14.25" thickBot="1" x14ac:dyDescent="0.35">
      <c r="B26" s="681"/>
      <c r="D26" s="682"/>
      <c r="E26" s="683"/>
      <c r="F26" s="683"/>
      <c r="G26" s="683"/>
      <c r="H26" s="683"/>
      <c r="I26" s="683"/>
      <c r="J26" s="683"/>
      <c r="K26" s="683"/>
      <c r="L26" s="683"/>
      <c r="M26" s="683"/>
      <c r="N26" s="683"/>
      <c r="O26" s="683"/>
      <c r="P26" s="683"/>
      <c r="Q26" s="683"/>
      <c r="R26" s="683"/>
      <c r="S26" s="683"/>
      <c r="T26" s="672"/>
      <c r="U26" s="672"/>
      <c r="V26" s="672"/>
      <c r="W26" s="672"/>
      <c r="X26" s="672"/>
      <c r="Y26" s="672"/>
      <c r="Z26" s="672"/>
      <c r="AA26" s="672"/>
      <c r="AB26" s="672"/>
      <c r="AC26" s="672"/>
    </row>
    <row r="27" spans="1:29" s="666" customFormat="1" ht="12.75" customHeight="1" x14ac:dyDescent="0.3">
      <c r="B27" s="645" t="s">
        <v>158</v>
      </c>
      <c r="C27" s="1908">
        <f>C19</f>
        <v>0</v>
      </c>
      <c r="D27" s="647"/>
      <c r="E27" s="2381">
        <f>S19+1</f>
        <v>2036</v>
      </c>
      <c r="F27" s="2377">
        <f t="shared" ref="F27:S27" si="7">E27+1</f>
        <v>2037</v>
      </c>
      <c r="G27" s="2377">
        <f t="shared" si="7"/>
        <v>2038</v>
      </c>
      <c r="H27" s="2377">
        <f t="shared" si="7"/>
        <v>2039</v>
      </c>
      <c r="I27" s="2377">
        <f t="shared" si="7"/>
        <v>2040</v>
      </c>
      <c r="J27" s="2377">
        <f t="shared" si="7"/>
        <v>2041</v>
      </c>
      <c r="K27" s="2377">
        <f t="shared" si="7"/>
        <v>2042</v>
      </c>
      <c r="L27" s="2377">
        <f t="shared" si="7"/>
        <v>2043</v>
      </c>
      <c r="M27" s="2377">
        <f t="shared" si="7"/>
        <v>2044</v>
      </c>
      <c r="N27" s="2377">
        <f t="shared" si="7"/>
        <v>2045</v>
      </c>
      <c r="O27" s="2377">
        <f t="shared" si="7"/>
        <v>2046</v>
      </c>
      <c r="P27" s="2377">
        <f t="shared" si="7"/>
        <v>2047</v>
      </c>
      <c r="Q27" s="2377">
        <f t="shared" si="7"/>
        <v>2048</v>
      </c>
      <c r="R27" s="2377">
        <f t="shared" si="7"/>
        <v>2049</v>
      </c>
      <c r="S27" s="2383">
        <f t="shared" si="7"/>
        <v>2050</v>
      </c>
      <c r="T27" s="669"/>
      <c r="U27" s="669"/>
      <c r="V27" s="669"/>
      <c r="W27" s="669"/>
      <c r="X27" s="669"/>
      <c r="Y27" s="669"/>
      <c r="Z27" s="669"/>
      <c r="AA27" s="669"/>
      <c r="AB27" s="669"/>
      <c r="AC27" s="669"/>
    </row>
    <row r="28" spans="1:29" s="666" customFormat="1" ht="12.75" customHeight="1" thickBot="1" x14ac:dyDescent="0.35">
      <c r="A28" s="680"/>
      <c r="B28" s="701" t="s">
        <v>24</v>
      </c>
      <c r="C28" s="702" t="str">
        <f>C20</f>
        <v>Scénář s projektem</v>
      </c>
      <c r="D28" s="703"/>
      <c r="E28" s="2574"/>
      <c r="F28" s="2572"/>
      <c r="G28" s="2572"/>
      <c r="H28" s="2572"/>
      <c r="I28" s="2572"/>
      <c r="J28" s="2572"/>
      <c r="K28" s="2572"/>
      <c r="L28" s="2572"/>
      <c r="M28" s="2572"/>
      <c r="N28" s="2572"/>
      <c r="O28" s="2572"/>
      <c r="P28" s="2572"/>
      <c r="Q28" s="2572"/>
      <c r="R28" s="2572"/>
      <c r="S28" s="2573"/>
      <c r="T28" s="669"/>
      <c r="U28" s="669"/>
      <c r="V28" s="669"/>
      <c r="W28" s="669"/>
      <c r="X28" s="669"/>
      <c r="Y28" s="669"/>
      <c r="Z28" s="669"/>
      <c r="AA28" s="669"/>
      <c r="AB28" s="669"/>
      <c r="AC28" s="669"/>
    </row>
    <row r="29" spans="1:29" s="666" customFormat="1" ht="12.75" customHeight="1" x14ac:dyDescent="0.3">
      <c r="A29" s="680"/>
      <c r="B29" s="707"/>
      <c r="C29" s="710" t="str">
        <f>IF(C12="","",C12)</f>
        <v>Náklady náhradní autobusové dopravy</v>
      </c>
      <c r="D29" s="711"/>
      <c r="E29" s="750">
        <f>E12</f>
        <v>0</v>
      </c>
      <c r="F29" s="751">
        <f t="shared" ref="F29:S30" si="8">F12</f>
        <v>0</v>
      </c>
      <c r="G29" s="751">
        <f t="shared" si="8"/>
        <v>0</v>
      </c>
      <c r="H29" s="751">
        <f t="shared" si="8"/>
        <v>0</v>
      </c>
      <c r="I29" s="751">
        <f t="shared" si="8"/>
        <v>0</v>
      </c>
      <c r="J29" s="751">
        <f t="shared" si="8"/>
        <v>0</v>
      </c>
      <c r="K29" s="751">
        <f t="shared" si="8"/>
        <v>0</v>
      </c>
      <c r="L29" s="751">
        <f t="shared" si="8"/>
        <v>0</v>
      </c>
      <c r="M29" s="751">
        <f t="shared" si="8"/>
        <v>0</v>
      </c>
      <c r="N29" s="751">
        <f t="shared" si="8"/>
        <v>0</v>
      </c>
      <c r="O29" s="751">
        <f t="shared" si="8"/>
        <v>0</v>
      </c>
      <c r="P29" s="751">
        <f t="shared" si="8"/>
        <v>0</v>
      </c>
      <c r="Q29" s="751">
        <f t="shared" si="8"/>
        <v>0</v>
      </c>
      <c r="R29" s="751">
        <f t="shared" si="8"/>
        <v>0</v>
      </c>
      <c r="S29" s="752">
        <f t="shared" si="8"/>
        <v>0</v>
      </c>
      <c r="T29" s="593"/>
      <c r="U29" s="593"/>
      <c r="V29" s="593"/>
      <c r="W29" s="593"/>
      <c r="X29" s="593"/>
      <c r="Y29" s="593"/>
      <c r="Z29" s="593"/>
      <c r="AA29" s="593"/>
      <c r="AB29" s="593"/>
      <c r="AC29" s="593"/>
    </row>
    <row r="30" spans="1:29" s="666" customFormat="1" ht="12.75" customHeight="1" x14ac:dyDescent="0.3">
      <c r="A30" s="680"/>
      <c r="B30" s="705"/>
      <c r="C30" s="708" t="str">
        <f>IF(C13="","",C13)</f>
        <v/>
      </c>
      <c r="D30" s="712"/>
      <c r="E30" s="753">
        <f>E13</f>
        <v>0</v>
      </c>
      <c r="F30" s="754">
        <f t="shared" si="8"/>
        <v>0</v>
      </c>
      <c r="G30" s="754">
        <f t="shared" si="8"/>
        <v>0</v>
      </c>
      <c r="H30" s="754">
        <f t="shared" si="8"/>
        <v>0</v>
      </c>
      <c r="I30" s="754">
        <f t="shared" si="8"/>
        <v>0</v>
      </c>
      <c r="J30" s="754">
        <f t="shared" si="8"/>
        <v>0</v>
      </c>
      <c r="K30" s="754">
        <f t="shared" si="8"/>
        <v>0</v>
      </c>
      <c r="L30" s="754">
        <f t="shared" si="8"/>
        <v>0</v>
      </c>
      <c r="M30" s="754">
        <f t="shared" si="8"/>
        <v>0</v>
      </c>
      <c r="N30" s="754">
        <f t="shared" si="8"/>
        <v>0</v>
      </c>
      <c r="O30" s="754">
        <f t="shared" si="8"/>
        <v>0</v>
      </c>
      <c r="P30" s="754">
        <f t="shared" si="8"/>
        <v>0</v>
      </c>
      <c r="Q30" s="754">
        <f t="shared" si="8"/>
        <v>0</v>
      </c>
      <c r="R30" s="754">
        <f t="shared" si="8"/>
        <v>0</v>
      </c>
      <c r="S30" s="755">
        <f t="shared" si="8"/>
        <v>0</v>
      </c>
      <c r="T30" s="593"/>
      <c r="U30" s="593"/>
      <c r="V30" s="593"/>
      <c r="W30" s="593"/>
      <c r="X30" s="593"/>
      <c r="Y30" s="593"/>
      <c r="Z30" s="593"/>
      <c r="AA30" s="593"/>
      <c r="AB30" s="593"/>
      <c r="AC30" s="593"/>
    </row>
    <row r="31" spans="1:29" s="666" customFormat="1" ht="12.75" customHeight="1" x14ac:dyDescent="0.3">
      <c r="A31" s="680"/>
      <c r="B31" s="705"/>
      <c r="C31" s="708" t="str">
        <f>IF(C14="","",C14)</f>
        <v/>
      </c>
      <c r="D31" s="712"/>
      <c r="E31" s="753">
        <f t="shared" ref="E31:S32" si="9">E14</f>
        <v>0</v>
      </c>
      <c r="F31" s="754">
        <f t="shared" si="9"/>
        <v>0</v>
      </c>
      <c r="G31" s="754">
        <f t="shared" si="9"/>
        <v>0</v>
      </c>
      <c r="H31" s="754">
        <f t="shared" si="9"/>
        <v>0</v>
      </c>
      <c r="I31" s="754">
        <f t="shared" si="9"/>
        <v>0</v>
      </c>
      <c r="J31" s="754">
        <f t="shared" si="9"/>
        <v>0</v>
      </c>
      <c r="K31" s="754">
        <f t="shared" si="9"/>
        <v>0</v>
      </c>
      <c r="L31" s="754">
        <f t="shared" si="9"/>
        <v>0</v>
      </c>
      <c r="M31" s="754">
        <f t="shared" si="9"/>
        <v>0</v>
      </c>
      <c r="N31" s="754">
        <f t="shared" si="9"/>
        <v>0</v>
      </c>
      <c r="O31" s="754">
        <f t="shared" si="9"/>
        <v>0</v>
      </c>
      <c r="P31" s="754">
        <f t="shared" si="9"/>
        <v>0</v>
      </c>
      <c r="Q31" s="754">
        <f t="shared" si="9"/>
        <v>0</v>
      </c>
      <c r="R31" s="754">
        <f t="shared" si="9"/>
        <v>0</v>
      </c>
      <c r="S31" s="755">
        <f t="shared" si="9"/>
        <v>0</v>
      </c>
      <c r="T31" s="593"/>
      <c r="U31" s="593"/>
      <c r="V31" s="593"/>
      <c r="W31" s="593"/>
      <c r="X31" s="593"/>
      <c r="Y31" s="593"/>
      <c r="Z31" s="593"/>
      <c r="AA31" s="593"/>
      <c r="AB31" s="593"/>
      <c r="AC31" s="593"/>
    </row>
    <row r="32" spans="1:29" s="666" customFormat="1" ht="12.75" customHeight="1" x14ac:dyDescent="0.3">
      <c r="A32" s="680"/>
      <c r="B32" s="706"/>
      <c r="C32" s="709" t="str">
        <f>IF(C15="","",C15)</f>
        <v/>
      </c>
      <c r="D32" s="713"/>
      <c r="E32" s="756">
        <f t="shared" si="9"/>
        <v>0</v>
      </c>
      <c r="F32" s="757">
        <f t="shared" si="9"/>
        <v>0</v>
      </c>
      <c r="G32" s="757">
        <f t="shared" si="9"/>
        <v>0</v>
      </c>
      <c r="H32" s="757">
        <f t="shared" si="9"/>
        <v>0</v>
      </c>
      <c r="I32" s="757">
        <f t="shared" si="9"/>
        <v>0</v>
      </c>
      <c r="J32" s="757">
        <f t="shared" si="9"/>
        <v>0</v>
      </c>
      <c r="K32" s="757">
        <f t="shared" si="9"/>
        <v>0</v>
      </c>
      <c r="L32" s="757">
        <f t="shared" si="9"/>
        <v>0</v>
      </c>
      <c r="M32" s="757">
        <f t="shared" si="9"/>
        <v>0</v>
      </c>
      <c r="N32" s="757">
        <f t="shared" si="9"/>
        <v>0</v>
      </c>
      <c r="O32" s="757">
        <f t="shared" si="9"/>
        <v>0</v>
      </c>
      <c r="P32" s="757">
        <f t="shared" si="9"/>
        <v>0</v>
      </c>
      <c r="Q32" s="757">
        <f t="shared" si="9"/>
        <v>0</v>
      </c>
      <c r="R32" s="757">
        <f t="shared" si="9"/>
        <v>0</v>
      </c>
      <c r="S32" s="758">
        <f t="shared" si="9"/>
        <v>0</v>
      </c>
      <c r="T32" s="593"/>
      <c r="U32" s="593"/>
      <c r="V32" s="593"/>
      <c r="W32" s="593"/>
      <c r="X32" s="593"/>
      <c r="Y32" s="593"/>
      <c r="Z32" s="593"/>
      <c r="AA32" s="593"/>
      <c r="AB32" s="593"/>
      <c r="AC32" s="593"/>
    </row>
    <row r="33" spans="1:29" s="666" customFormat="1" ht="15" thickBot="1" x14ac:dyDescent="0.35">
      <c r="B33" s="771"/>
      <c r="C33" s="772" t="str">
        <f>C16</f>
        <v>Celkové ostatní přínosy (CZK)</v>
      </c>
      <c r="D33" s="776"/>
      <c r="E33" s="773">
        <f t="shared" ref="E33:S33" si="10">SUM(E29:E32)</f>
        <v>0</v>
      </c>
      <c r="F33" s="774">
        <f t="shared" si="10"/>
        <v>0</v>
      </c>
      <c r="G33" s="774">
        <f t="shared" si="10"/>
        <v>0</v>
      </c>
      <c r="H33" s="774">
        <f t="shared" si="10"/>
        <v>0</v>
      </c>
      <c r="I33" s="774">
        <f t="shared" si="10"/>
        <v>0</v>
      </c>
      <c r="J33" s="774">
        <f t="shared" si="10"/>
        <v>0</v>
      </c>
      <c r="K33" s="774">
        <f t="shared" si="10"/>
        <v>0</v>
      </c>
      <c r="L33" s="774">
        <f t="shared" si="10"/>
        <v>0</v>
      </c>
      <c r="M33" s="774">
        <f t="shared" si="10"/>
        <v>0</v>
      </c>
      <c r="N33" s="774">
        <f t="shared" si="10"/>
        <v>0</v>
      </c>
      <c r="O33" s="774">
        <f t="shared" si="10"/>
        <v>0</v>
      </c>
      <c r="P33" s="774">
        <f t="shared" si="10"/>
        <v>0</v>
      </c>
      <c r="Q33" s="774">
        <f t="shared" si="10"/>
        <v>0</v>
      </c>
      <c r="R33" s="774">
        <f t="shared" si="10"/>
        <v>0</v>
      </c>
      <c r="S33" s="775">
        <f t="shared" si="10"/>
        <v>0</v>
      </c>
      <c r="T33" s="593"/>
      <c r="U33" s="593"/>
      <c r="V33" s="593"/>
      <c r="W33" s="593"/>
      <c r="X33" s="593"/>
      <c r="Y33" s="593"/>
      <c r="Z33" s="593"/>
      <c r="AA33" s="593"/>
      <c r="AB33" s="593"/>
      <c r="AC33" s="593"/>
    </row>
    <row r="34" spans="1:29" s="666" customFormat="1" ht="14.25" x14ac:dyDescent="0.3">
      <c r="B34" s="684"/>
      <c r="C34" s="677"/>
      <c r="D34" s="685"/>
      <c r="E34" s="686"/>
      <c r="F34" s="686"/>
      <c r="G34" s="686"/>
      <c r="H34" s="686"/>
      <c r="I34" s="686"/>
      <c r="J34" s="686"/>
      <c r="K34" s="686"/>
      <c r="L34" s="686"/>
      <c r="M34" s="686"/>
      <c r="N34" s="686"/>
      <c r="O34" s="686"/>
      <c r="P34" s="686"/>
      <c r="Q34" s="686"/>
      <c r="R34" s="686"/>
      <c r="S34" s="686"/>
    </row>
    <row r="35" spans="1:29" ht="14.25" thickBot="1" x14ac:dyDescent="0.35">
      <c r="A35" s="666"/>
      <c r="B35" s="687"/>
    </row>
    <row r="36" spans="1:29" ht="15" thickBot="1" x14ac:dyDescent="0.35">
      <c r="A36" s="688"/>
      <c r="B36" s="689"/>
      <c r="C36" s="690" t="str">
        <f>IF('0 Úvod'!$M$10="English",Slovnik!$D$429,Slovnik!$C$429)</f>
        <v>Výnosy (CZK)</v>
      </c>
      <c r="D36" s="704">
        <f>D25</f>
        <v>5897330.46</v>
      </c>
    </row>
    <row r="37" spans="1:29" x14ac:dyDescent="0.3">
      <c r="A37" s="688"/>
    </row>
    <row r="38" spans="1:29" ht="14.25" thickBot="1" x14ac:dyDescent="0.35">
      <c r="A38" s="666"/>
    </row>
    <row r="39" spans="1:29" ht="14.25" customHeight="1" x14ac:dyDescent="0.3">
      <c r="A39" s="666"/>
      <c r="B39" s="2421" t="str">
        <f>IF('0 Úvod'!$M$10="English",Slovnik!$D$430,Slovnik!$C$430)</f>
        <v>Komentáře</v>
      </c>
      <c r="C39" s="2422"/>
      <c r="D39" s="2422"/>
      <c r="E39" s="2422"/>
      <c r="F39" s="2422"/>
      <c r="G39" s="2422"/>
      <c r="H39" s="2422"/>
      <c r="I39" s="2422"/>
      <c r="J39" s="2422"/>
      <c r="K39" s="2422"/>
      <c r="L39" s="2422"/>
      <c r="M39" s="2422"/>
      <c r="N39" s="2422"/>
      <c r="O39" s="2422"/>
      <c r="P39" s="2422"/>
      <c r="Q39" s="2422"/>
      <c r="R39" s="2422"/>
      <c r="S39" s="2423"/>
    </row>
    <row r="40" spans="1:29" ht="15" customHeight="1" thickBot="1" x14ac:dyDescent="0.35">
      <c r="B40" s="2424"/>
      <c r="C40" s="2425"/>
      <c r="D40" s="2425"/>
      <c r="E40" s="2425"/>
      <c r="F40" s="2425"/>
      <c r="G40" s="2425"/>
      <c r="H40" s="2425"/>
      <c r="I40" s="2425"/>
      <c r="J40" s="2425"/>
      <c r="K40" s="2425"/>
      <c r="L40" s="2425"/>
      <c r="M40" s="2425"/>
      <c r="N40" s="2425"/>
      <c r="O40" s="2425"/>
      <c r="P40" s="2425"/>
      <c r="Q40" s="2425"/>
      <c r="R40" s="2425"/>
      <c r="S40" s="2426"/>
    </row>
    <row r="41" spans="1:29" ht="19.5" customHeight="1" thickBot="1" x14ac:dyDescent="0.35">
      <c r="B41" s="777" t="str">
        <f>IF('0 Úvod'!$M$10="English",Slovnik!$D$431,Slovnik!$C$431)</f>
        <v>Mohou být zahrnuty i jiné přínosy resp. náklady v EKONOMICKÉ ANALÝZE dle konkrétního projektu. Zpracovatel uvede konkrétní vstupní hodnoty použité při výpočtu.</v>
      </c>
      <c r="C41" s="778"/>
      <c r="D41" s="779"/>
      <c r="E41" s="779"/>
      <c r="F41" s="779"/>
      <c r="G41" s="780"/>
      <c r="H41" s="781"/>
      <c r="I41" s="781"/>
      <c r="J41" s="781"/>
      <c r="K41" s="781"/>
      <c r="L41" s="781"/>
      <c r="M41" s="781"/>
      <c r="N41" s="781"/>
      <c r="O41" s="781"/>
      <c r="P41" s="781"/>
      <c r="Q41" s="781"/>
      <c r="R41" s="781"/>
      <c r="S41" s="782"/>
    </row>
    <row r="42" spans="1:29" ht="14.25" x14ac:dyDescent="0.3">
      <c r="B42" s="2136"/>
      <c r="C42" s="2136"/>
      <c r="D42" s="821"/>
      <c r="E42" s="821"/>
      <c r="F42" s="821"/>
      <c r="G42" s="2137"/>
      <c r="H42" s="821"/>
      <c r="I42" s="821"/>
      <c r="J42" s="821"/>
      <c r="K42" s="821"/>
      <c r="L42" s="821"/>
      <c r="M42" s="821"/>
      <c r="N42" s="821"/>
      <c r="O42" s="821"/>
      <c r="P42" s="821"/>
    </row>
  </sheetData>
  <sheetProtection algorithmName="SHA-512" hashValue="0s2baXbhP4PeDTJa0bTEbQdQCAeNfxqB6mcowNml3jymDOSd6myHLdVgwHS+UyfVHJGI9DhBua5oa83UOZxVag==" saltValue="PjlTnxIiucrytPbDaH31xA==" spinCount="100000" sheet="1" formatCells="0" formatColumns="0" formatRows="0" insertColumns="0" insertRows="0" insertHyperlinks="0" deleteColumns="0" deleteRows="0" sort="0" autoFilter="0" pivotTables="0"/>
  <mergeCells count="61">
    <mergeCell ref="N27:N28"/>
    <mergeCell ref="O27:O28"/>
    <mergeCell ref="P27:P28"/>
    <mergeCell ref="Q27:Q28"/>
    <mergeCell ref="B39:S40"/>
    <mergeCell ref="R27:R28"/>
    <mergeCell ref="S27:S28"/>
    <mergeCell ref="S19:S20"/>
    <mergeCell ref="E27:E28"/>
    <mergeCell ref="F27:F28"/>
    <mergeCell ref="G27:G28"/>
    <mergeCell ref="H27:H28"/>
    <mergeCell ref="I27:I28"/>
    <mergeCell ref="J27:J28"/>
    <mergeCell ref="K27:K28"/>
    <mergeCell ref="L27:L28"/>
    <mergeCell ref="M27:M28"/>
    <mergeCell ref="M19:M20"/>
    <mergeCell ref="N19:N20"/>
    <mergeCell ref="O19:O20"/>
    <mergeCell ref="P19:P20"/>
    <mergeCell ref="Q19:Q20"/>
    <mergeCell ref="R19:R20"/>
    <mergeCell ref="R10:R11"/>
    <mergeCell ref="S10:S11"/>
    <mergeCell ref="E19:E20"/>
    <mergeCell ref="F19:F20"/>
    <mergeCell ref="G19:G20"/>
    <mergeCell ref="H19:H20"/>
    <mergeCell ref="I19:I20"/>
    <mergeCell ref="J19:J20"/>
    <mergeCell ref="K19:K20"/>
    <mergeCell ref="L19:L20"/>
    <mergeCell ref="L10:L11"/>
    <mergeCell ref="M10:M11"/>
    <mergeCell ref="N10:N11"/>
    <mergeCell ref="O10:O11"/>
    <mergeCell ref="P10:P11"/>
    <mergeCell ref="Q10:Q11"/>
    <mergeCell ref="Q2:Q3"/>
    <mergeCell ref="R2:R3"/>
    <mergeCell ref="S2:S3"/>
    <mergeCell ref="E10:E11"/>
    <mergeCell ref="F10:F11"/>
    <mergeCell ref="G10:G11"/>
    <mergeCell ref="H10:H11"/>
    <mergeCell ref="I10:I11"/>
    <mergeCell ref="J10:J11"/>
    <mergeCell ref="K10:K11"/>
    <mergeCell ref="K2:K3"/>
    <mergeCell ref="L2:L3"/>
    <mergeCell ref="M2:M3"/>
    <mergeCell ref="N2:N3"/>
    <mergeCell ref="O2:O3"/>
    <mergeCell ref="P2:P3"/>
    <mergeCell ref="J2:J3"/>
    <mergeCell ref="E2:E3"/>
    <mergeCell ref="F2:F3"/>
    <mergeCell ref="G2:G3"/>
    <mergeCell ref="H2:H3"/>
    <mergeCell ref="I2:I3"/>
  </mergeCells>
  <conditionalFormatting sqref="F34:S34">
    <cfRule type="cellIs" dxfId="8" priority="1" stopIfTrue="1" operator="lessThan">
      <formula>0</formula>
    </cfRule>
  </conditionalFormatting>
  <conditionalFormatting sqref="E34">
    <cfRule type="cellIs" dxfId="7" priority="2" stopIfTrue="1" operator="lessThan">
      <formula>0</formula>
    </cfRule>
  </conditionalFormatting>
  <pageMargins left="0.1931496062992126" right="0.15314960629921262" top="0.79000000000000015" bottom="0.79000000000000015" header="0.39000000000000007" footer="0.39000000000000007"/>
  <pageSetup paperSize="9" scale="64" fitToHeight="0" orientation="landscape" r:id="rId1"/>
  <headerFooter alignWithMargins="0">
    <oddFooter>&amp;L&amp;A&amp;C&amp;D</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25">
    <pageSetUpPr fitToPage="1"/>
  </sheetPr>
  <dimension ref="A1:AC36"/>
  <sheetViews>
    <sheetView defaultGridColor="0" colorId="23" zoomScale="80" zoomScaleNormal="80" workbookViewId="0"/>
  </sheetViews>
  <sheetFormatPr defaultColWidth="9.140625" defaultRowHeight="13.5" x14ac:dyDescent="0.3"/>
  <cols>
    <col min="1" max="1" width="2.42578125" style="946" customWidth="1"/>
    <col min="2" max="2" width="5.7109375" style="946" customWidth="1"/>
    <col min="3" max="3" width="47.7109375" style="946" customWidth="1"/>
    <col min="4" max="4" width="15" style="946" customWidth="1"/>
    <col min="5" max="5" width="12.5703125" style="946" customWidth="1"/>
    <col min="6" max="20" width="10.7109375" style="946" customWidth="1"/>
    <col min="21" max="21" width="15.140625" style="946" hidden="1" customWidth="1"/>
    <col min="22" max="22" width="19.140625" style="946" hidden="1" customWidth="1"/>
    <col min="23" max="29" width="10.7109375" style="946" customWidth="1"/>
    <col min="30" max="34" width="7.140625" style="946" customWidth="1"/>
    <col min="35" max="16384" width="9.140625" style="946"/>
  </cols>
  <sheetData>
    <row r="1" spans="1:29" ht="12.75" customHeight="1" thickBot="1" x14ac:dyDescent="0.35"/>
    <row r="2" spans="1:29" ht="14.25" x14ac:dyDescent="0.3">
      <c r="B2" s="1388" t="s">
        <v>21</v>
      </c>
      <c r="C2" s="1389" t="str">
        <f>IF('0 Úvod'!$M$10="English",Slovnik!D433,Slovnik!C433)</f>
        <v>Kalkulace finančního vnitřního výnosového procenta</v>
      </c>
      <c r="D2" s="994"/>
      <c r="E2" s="2323">
        <f>'0 Úvod'!G18</f>
        <v>2021</v>
      </c>
      <c r="F2" s="2323">
        <f t="shared" ref="F2:S2" si="0">E2+1</f>
        <v>2022</v>
      </c>
      <c r="G2" s="2323">
        <f t="shared" si="0"/>
        <v>2023</v>
      </c>
      <c r="H2" s="2323">
        <f t="shared" si="0"/>
        <v>2024</v>
      </c>
      <c r="I2" s="2323">
        <f t="shared" si="0"/>
        <v>2025</v>
      </c>
      <c r="J2" s="2323">
        <f t="shared" si="0"/>
        <v>2026</v>
      </c>
      <c r="K2" s="2323">
        <f t="shared" si="0"/>
        <v>2027</v>
      </c>
      <c r="L2" s="2323">
        <f t="shared" si="0"/>
        <v>2028</v>
      </c>
      <c r="M2" s="2323">
        <f t="shared" si="0"/>
        <v>2029</v>
      </c>
      <c r="N2" s="2323">
        <f t="shared" si="0"/>
        <v>2030</v>
      </c>
      <c r="O2" s="2323">
        <f t="shared" si="0"/>
        <v>2031</v>
      </c>
      <c r="P2" s="2323">
        <f t="shared" si="0"/>
        <v>2032</v>
      </c>
      <c r="Q2" s="2323">
        <f t="shared" si="0"/>
        <v>2033</v>
      </c>
      <c r="R2" s="2323">
        <f t="shared" si="0"/>
        <v>2034</v>
      </c>
      <c r="S2" s="2329">
        <f t="shared" si="0"/>
        <v>2035</v>
      </c>
      <c r="T2" s="977"/>
      <c r="U2" s="1031" t="s">
        <v>214</v>
      </c>
      <c r="V2" s="1031" t="s">
        <v>215</v>
      </c>
      <c r="W2" s="978"/>
      <c r="X2" s="978"/>
      <c r="Y2" s="978"/>
      <c r="Z2" s="978"/>
      <c r="AA2" s="978"/>
      <c r="AB2" s="978"/>
      <c r="AC2" s="978"/>
    </row>
    <row r="3" spans="1:29" ht="15" thickBot="1" x14ac:dyDescent="0.35">
      <c r="B3" s="1390" t="s">
        <v>23</v>
      </c>
      <c r="C3" s="1391"/>
      <c r="D3" s="1392" t="str">
        <f>IF('0 Úvod'!$M$10="English",Slovnik!$D$444,Slovnik!$C$444)</f>
        <v>Celkem</v>
      </c>
      <c r="E3" s="2575"/>
      <c r="F3" s="2575"/>
      <c r="G3" s="2575"/>
      <c r="H3" s="2575"/>
      <c r="I3" s="2575"/>
      <c r="J3" s="2575"/>
      <c r="K3" s="2575"/>
      <c r="L3" s="2575"/>
      <c r="M3" s="2575"/>
      <c r="N3" s="2575"/>
      <c r="O3" s="2575"/>
      <c r="P3" s="2575"/>
      <c r="Q3" s="2575"/>
      <c r="R3" s="2575"/>
      <c r="S3" s="2577"/>
      <c r="T3" s="977"/>
      <c r="U3" s="1396" t="s">
        <v>212</v>
      </c>
      <c r="V3" s="1396" t="s">
        <v>212</v>
      </c>
      <c r="W3" s="978"/>
      <c r="X3" s="978"/>
      <c r="Y3" s="978"/>
      <c r="Z3" s="978"/>
      <c r="AA3" s="978"/>
      <c r="AB3" s="978"/>
      <c r="AC3" s="978"/>
    </row>
    <row r="4" spans="1:29" ht="14.25" x14ac:dyDescent="0.3">
      <c r="B4" s="1397"/>
      <c r="C4" s="1399" t="str">
        <f>IF('0 Úvod'!$M$10="English",Slovnik!D434,Slovnik!C434)</f>
        <v>Celkové přírůstkové provozní příjmy</v>
      </c>
      <c r="D4" s="1425">
        <f>SUM(E4:S4,E17:S17)</f>
        <v>7362460</v>
      </c>
      <c r="E4" s="1540">
        <f>IF(E2&lt;=('0 Úvod'!$G$18+'0 Úvod'!$J$18-1),'8 Příjmy'!E37,0)</f>
        <v>0</v>
      </c>
      <c r="F4" s="1540">
        <f>IF(F2&lt;=('0 Úvod'!$G$18+'0 Úvod'!$J$18-1),'8 Příjmy'!F37,0)</f>
        <v>0</v>
      </c>
      <c r="G4" s="1540">
        <f>IF(G2&lt;=('0 Úvod'!$G$18+'0 Úvod'!$J$18-1),'8 Příjmy'!G37,0)</f>
        <v>7362460</v>
      </c>
      <c r="H4" s="1540">
        <f>IF(H2&lt;=('0 Úvod'!$G$18+'0 Úvod'!$J$18-1),'8 Příjmy'!H37,0)</f>
        <v>0</v>
      </c>
      <c r="I4" s="1540">
        <f>IF(I2&lt;=('0 Úvod'!$G$18+'0 Úvod'!$J$18-1),'8 Příjmy'!I37,0)</f>
        <v>0</v>
      </c>
      <c r="J4" s="1540">
        <f>IF(J2&lt;=('0 Úvod'!$G$18+'0 Úvod'!$J$18-1),'8 Příjmy'!J37,0)</f>
        <v>0</v>
      </c>
      <c r="K4" s="1540">
        <f>IF(K2&lt;=('0 Úvod'!$G$18+'0 Úvod'!$J$18-1),'8 Příjmy'!K37,0)</f>
        <v>0</v>
      </c>
      <c r="L4" s="1540">
        <f>IF(L2&lt;=('0 Úvod'!$G$18+'0 Úvod'!$J$18-1),'8 Příjmy'!L37,0)</f>
        <v>0</v>
      </c>
      <c r="M4" s="1540">
        <f>IF(M2&lt;=('0 Úvod'!$G$18+'0 Úvod'!$J$18-1),'8 Příjmy'!M37,0)</f>
        <v>0</v>
      </c>
      <c r="N4" s="1540">
        <f>IF(N2&lt;=('0 Úvod'!$G$18+'0 Úvod'!$J$18-1),'8 Příjmy'!N37,0)</f>
        <v>0</v>
      </c>
      <c r="O4" s="1540">
        <f>IF(O2&lt;=('0 Úvod'!$G$18+'0 Úvod'!$J$18-1),'8 Příjmy'!O37,0)</f>
        <v>0</v>
      </c>
      <c r="P4" s="1540">
        <f>IF(P2&lt;=('0 Úvod'!$G$18+'0 Úvod'!$J$18-1),'8 Příjmy'!P37,0)</f>
        <v>0</v>
      </c>
      <c r="Q4" s="1540">
        <f>IF(Q2&lt;=('0 Úvod'!$G$18+'0 Úvod'!$J$18-1),'8 Příjmy'!Q37,0)</f>
        <v>0</v>
      </c>
      <c r="R4" s="1540">
        <f>IF(R2&lt;=('0 Úvod'!$G$18+'0 Úvod'!$J$18-1),'8 Příjmy'!R37,0)</f>
        <v>0</v>
      </c>
      <c r="S4" s="1541">
        <f>IF(S2&lt;=('0 Úvod'!$G$18+'0 Úvod'!$J$18-1),'8 Příjmy'!S37,0)</f>
        <v>0</v>
      </c>
      <c r="T4" s="1371"/>
      <c r="U4" s="1375" t="s">
        <v>216</v>
      </c>
      <c r="V4" s="1375" t="s">
        <v>216</v>
      </c>
      <c r="W4" s="1371"/>
      <c r="X4" s="1371"/>
      <c r="Y4" s="1371"/>
      <c r="Z4" s="1371"/>
      <c r="AA4" s="1371"/>
      <c r="AB4" s="1371"/>
      <c r="AC4" s="1371"/>
    </row>
    <row r="5" spans="1:29" ht="15" thickBot="1" x14ac:dyDescent="0.35">
      <c r="B5" s="1372"/>
      <c r="C5" s="1400" t="str">
        <f>IF('0 Úvod'!$M$10="English",Slovnik!D435,Slovnik!C435)</f>
        <v>Celkové výnosy</v>
      </c>
      <c r="D5" s="1373">
        <f t="shared" ref="D5:S5" si="1">SUM(D4)</f>
        <v>7362460</v>
      </c>
      <c r="E5" s="1516">
        <f t="shared" si="1"/>
        <v>0</v>
      </c>
      <c r="F5" s="1516">
        <f t="shared" si="1"/>
        <v>0</v>
      </c>
      <c r="G5" s="1516">
        <f t="shared" si="1"/>
        <v>7362460</v>
      </c>
      <c r="H5" s="1516">
        <f t="shared" si="1"/>
        <v>0</v>
      </c>
      <c r="I5" s="1516">
        <f t="shared" si="1"/>
        <v>0</v>
      </c>
      <c r="J5" s="1516">
        <f t="shared" si="1"/>
        <v>0</v>
      </c>
      <c r="K5" s="1516">
        <f t="shared" si="1"/>
        <v>0</v>
      </c>
      <c r="L5" s="1516">
        <f t="shared" si="1"/>
        <v>0</v>
      </c>
      <c r="M5" s="1516">
        <f t="shared" si="1"/>
        <v>0</v>
      </c>
      <c r="N5" s="1516">
        <f t="shared" si="1"/>
        <v>0</v>
      </c>
      <c r="O5" s="1516">
        <f t="shared" si="1"/>
        <v>0</v>
      </c>
      <c r="P5" s="1516">
        <f t="shared" si="1"/>
        <v>0</v>
      </c>
      <c r="Q5" s="1516">
        <f t="shared" si="1"/>
        <v>0</v>
      </c>
      <c r="R5" s="1516">
        <f t="shared" si="1"/>
        <v>0</v>
      </c>
      <c r="S5" s="1517">
        <f t="shared" si="1"/>
        <v>0</v>
      </c>
      <c r="T5" s="1374"/>
      <c r="U5" s="1375" t="s">
        <v>217</v>
      </c>
      <c r="V5" s="1375" t="s">
        <v>217</v>
      </c>
      <c r="W5" s="1374"/>
      <c r="X5" s="1374"/>
      <c r="Y5" s="1374"/>
      <c r="Z5" s="1374"/>
      <c r="AA5" s="1374"/>
      <c r="AB5" s="1374"/>
      <c r="AC5" s="1374"/>
    </row>
    <row r="6" spans="1:29" ht="14.25" x14ac:dyDescent="0.3">
      <c r="B6" s="1397"/>
      <c r="C6" s="1401" t="str">
        <f>IF('0 Úvod'!$M$10="English",Slovnik!D436,Slovnik!C436)</f>
        <v>Celkové přírůstkové provozní náklady infrastruktury</v>
      </c>
      <c r="D6" s="1425">
        <f>SUM(E6:S6,E19:S19)</f>
        <v>-150115324.29542601</v>
      </c>
      <c r="E6" s="1540">
        <f>IF(E2&lt;=('0 Úvod'!$G$18+'0 Úvod'!$J$18-1),IF($S$29="ŽELEZNIČNÍ",'3 PN infrastruktury'!E58+'3 PN infrastruktury'!E59+'3 PN infrastruktury'!E60,IF($S$29="SILNIČNÍ",'3 PN infrastruktury'!E7-'3 PN infrastruktury'!E34+'3 PN infrastruktury'!E62,IF($S$29="VODNÍ",'3 PN infrastruktury'!E63+'3 PN infrastruktury'!E64,'3 PN infrastruktury'!E65+'3 PN infrastruktury'!E66))),0)</f>
        <v>0</v>
      </c>
      <c r="F6" s="1540">
        <f>IF(F2&lt;=('0 Úvod'!$G$18+'0 Úvod'!$J$18-1),IF($S$29="ŽELEZNIČNÍ",'3 PN infrastruktury'!F58+'3 PN infrastruktury'!F59+'3 PN infrastruktury'!F60,IF($S$29="SILNIČNÍ",'3 PN infrastruktury'!F7-'3 PN infrastruktury'!F34+'3 PN infrastruktury'!F62,IF($S$29="VODNÍ",'3 PN infrastruktury'!F63+'3 PN infrastruktury'!F64,'3 PN infrastruktury'!F65+'3 PN infrastruktury'!F66))),0)</f>
        <v>0</v>
      </c>
      <c r="G6" s="1540">
        <f>IF(G2&lt;=('0 Úvod'!$G$18+'0 Úvod'!$J$18-1),IF($S$29="ŽELEZNIČNÍ",'3 PN infrastruktury'!G58+'3 PN infrastruktury'!G59+'3 PN infrastruktury'!G60,IF($S$29="SILNIČNÍ",'3 PN infrastruktury'!G7-'3 PN infrastruktury'!G34+'3 PN infrastruktury'!G62,IF($S$29="VODNÍ",'3 PN infrastruktury'!G63+'3 PN infrastruktury'!G64,'3 PN infrastruktury'!G65+'3 PN infrastruktury'!G66))),0)</f>
        <v>-253671132.51507545</v>
      </c>
      <c r="H6" s="1540">
        <f>IF(H2&lt;=('0 Úvod'!$G$18+'0 Úvod'!$J$18-1),IF($S$29="ŽELEZNIČNÍ",'3 PN infrastruktury'!H58+'3 PN infrastruktury'!H59+'3 PN infrastruktury'!H60,IF($S$29="SILNIČNÍ",'3 PN infrastruktury'!H7-'3 PN infrastruktury'!H34+'3 PN infrastruktury'!H62,IF($S$29="VODNÍ",'3 PN infrastruktury'!H63+'3 PN infrastruktury'!H64,'3 PN infrastruktury'!H65+'3 PN infrastruktury'!H66))),0)</f>
        <v>-1072652.8498773426</v>
      </c>
      <c r="I6" s="1540">
        <f>IF(I2&lt;=('0 Úvod'!$G$18+'0 Úvod'!$J$18-1),IF($S$29="ŽELEZNIČNÍ",'3 PN infrastruktury'!I58+'3 PN infrastruktury'!I59+'3 PN infrastruktury'!I60,IF($S$29="SILNIČNÍ",'3 PN infrastruktury'!I7-'3 PN infrastruktury'!I34+'3 PN infrastruktury'!I62,IF($S$29="VODNÍ",'3 PN infrastruktury'!I63+'3 PN infrastruktury'!I64,'3 PN infrastruktury'!I65+'3 PN infrastruktury'!I66))),0)</f>
        <v>-1074180.7863532621</v>
      </c>
      <c r="J6" s="1540">
        <f>IF(J2&lt;=('0 Úvod'!$G$18+'0 Úvod'!$J$18-1),IF($S$29="ŽELEZNIČNÍ",'3 PN infrastruktury'!J58+'3 PN infrastruktury'!J59+'3 PN infrastruktury'!J60,IF($S$29="SILNIČNÍ",'3 PN infrastruktury'!J7-'3 PN infrastruktury'!J34+'3 PN infrastruktury'!J62,IF($S$29="VODNÍ",'3 PN infrastruktury'!J63+'3 PN infrastruktury'!J64,'3 PN infrastruktury'!J65+'3 PN infrastruktury'!J66))),0)</f>
        <v>-1075716.3625115603</v>
      </c>
      <c r="K6" s="1540">
        <f>IF(K2&lt;=('0 Úvod'!$G$18+'0 Úvod'!$J$18-1),IF($S$29="ŽELEZNIČNÍ",'3 PN infrastruktury'!K58+'3 PN infrastruktury'!K59+'3 PN infrastruktury'!K60,IF($S$29="SILNIČNÍ",'3 PN infrastruktury'!K7-'3 PN infrastruktury'!K34+'3 PN infrastruktury'!K62,IF($S$29="VODNÍ",'3 PN infrastruktury'!K63+'3 PN infrastruktury'!K64,'3 PN infrastruktury'!K65+'3 PN infrastruktury'!K66))),0)</f>
        <v>-1077259.6165506504</v>
      </c>
      <c r="L6" s="1540">
        <f>IF(L2&lt;=('0 Úvod'!$G$18+'0 Úvod'!$J$18-1),IF($S$29="ŽELEZNIČNÍ",'3 PN infrastruktury'!L58+'3 PN infrastruktury'!L59+'3 PN infrastruktury'!L60,IF($S$29="SILNIČNÍ",'3 PN infrastruktury'!L7-'3 PN infrastruktury'!L34+'3 PN infrastruktury'!L62,IF($S$29="VODNÍ",'3 PN infrastruktury'!L63+'3 PN infrastruktury'!L64,'3 PN infrastruktury'!L65+'3 PN infrastruktury'!L66))),0)</f>
        <v>-1078810.586859935</v>
      </c>
      <c r="M6" s="1540">
        <f>IF(M2&lt;=('0 Úvod'!$G$18+'0 Úvod'!$J$18-1),IF($S$29="ŽELEZNIČNÍ",'3 PN infrastruktury'!M58+'3 PN infrastruktury'!M59+'3 PN infrastruktury'!M60,IF($S$29="SILNIČNÍ",'3 PN infrastruktury'!M7-'3 PN infrastruktury'!M34+'3 PN infrastruktury'!M62,IF($S$29="VODNÍ",'3 PN infrastruktury'!M63+'3 PN infrastruktury'!M64,'3 PN infrastruktury'!M65+'3 PN infrastruktury'!M66))),0)</f>
        <v>-130880369.31202076</v>
      </c>
      <c r="N6" s="1540">
        <f>IF(N2&lt;=('0 Úvod'!$G$18+'0 Úvod'!$J$18-1),IF($S$29="ŽELEZNIČNÍ",'3 PN infrastruktury'!N58+'3 PN infrastruktury'!N59+'3 PN infrastruktury'!N60,IF($S$29="SILNIČNÍ",'3 PN infrastruktury'!N7-'3 PN infrastruktury'!N34+'3 PN infrastruktury'!N62,IF($S$29="VODNÍ",'3 PN infrastruktury'!N63+'3 PN infrastruktury'!N64,'3 PN infrastruktury'!N65+'3 PN infrastruktury'!N66))),0)</f>
        <v>-1081935.8308074037</v>
      </c>
      <c r="O6" s="1540">
        <f>IF(O2&lt;=('0 Úvod'!$G$18+'0 Úvod'!$J$18-1),IF($S$29="ŽELEZNIČNÍ",'3 PN infrastruktury'!O58+'3 PN infrastruktury'!O59+'3 PN infrastruktury'!O60,IF($S$29="SILNIČNÍ",'3 PN infrastruktury'!O7-'3 PN infrastruktury'!O34+'3 PN infrastruktury'!O62,IF($S$29="VODNÍ",'3 PN infrastruktury'!O63+'3 PN infrastruktury'!O64,'3 PN infrastruktury'!O65+'3 PN infrastruktury'!O66))),0)</f>
        <v>-1083510.1821879726</v>
      </c>
      <c r="P6" s="1540">
        <f>IF(P2&lt;=('0 Úvod'!$G$18+'0 Úvod'!$J$18-1),IF($S$29="ŽELEZNIČNÍ",'3 PN infrastruktury'!P58+'3 PN infrastruktury'!P59+'3 PN infrastruktury'!P60,IF($S$29="SILNIČNÍ",'3 PN infrastruktury'!P7-'3 PN infrastruktury'!P34+'3 PN infrastruktury'!P62,IF($S$29="VODNÍ",'3 PN infrastruktury'!P63+'3 PN infrastruktury'!P64,'3 PN infrastruktury'!P65+'3 PN infrastruktury'!P66))),0)</f>
        <v>-1085092.4053254453</v>
      </c>
      <c r="Q6" s="1540">
        <f>IF(Q2&lt;=('0 Úvod'!$G$18+'0 Úvod'!$J$18-1),IF($S$29="ŽELEZNIČNÍ",'3 PN infrastruktury'!Q58+'3 PN infrastruktury'!Q59+'3 PN infrastruktury'!Q60,IF($S$29="SILNIČNÍ",'3 PN infrastruktury'!Q7-'3 PN infrastruktury'!Q34+'3 PN infrastruktury'!Q62,IF($S$29="VODNÍ",'3 PN infrastruktury'!Q63+'3 PN infrastruktury'!Q64,'3 PN infrastruktury'!Q65+'3 PN infrastruktury'!Q66))),0)</f>
        <v>-1086682.5395786036</v>
      </c>
      <c r="R6" s="1540">
        <f>IF(R2&lt;=('0 Úvod'!$G$18+'0 Úvod'!$J$18-1),IF($S$29="ŽELEZNIČNÍ",'3 PN infrastruktury'!R58+'3 PN infrastruktury'!R59+'3 PN infrastruktury'!R60,IF($S$29="SILNIČNÍ",'3 PN infrastruktury'!R7-'3 PN infrastruktury'!R34+'3 PN infrastruktury'!R62,IF($S$29="VODNÍ",'3 PN infrastruktury'!R63+'3 PN infrastruktury'!R64,'3 PN infrastruktury'!R65+'3 PN infrastruktury'!R66))),0)</f>
        <v>-1088280.6245030286</v>
      </c>
      <c r="S6" s="1541">
        <f>IF(S2&lt;=('0 Úvod'!$G$18+'0 Úvod'!$J$18-1),IF($S$29="ŽELEZNIČNÍ",'3 PN infrastruktury'!S58+'3 PN infrastruktury'!S59+'3 PN infrastruktury'!S60,IF($S$29="SILNIČNÍ",'3 PN infrastruktury'!S7-'3 PN infrastruktury'!S34+'3 PN infrastruktury'!S62,IF($S$29="VODNÍ",'3 PN infrastruktury'!S63+'3 PN infrastruktury'!S64,'3 PN infrastruktury'!S65+'3 PN infrastruktury'!S66))),0)</f>
        <v>-1089886.6998520764</v>
      </c>
      <c r="T6" s="1371"/>
      <c r="U6" s="1375" t="s">
        <v>714</v>
      </c>
      <c r="V6" s="946" t="s">
        <v>1387</v>
      </c>
      <c r="W6" s="1371"/>
      <c r="X6" s="1371"/>
      <c r="Y6" s="1371"/>
      <c r="Z6" s="1371"/>
      <c r="AA6" s="1371"/>
      <c r="AB6" s="1371"/>
      <c r="AC6" s="1371"/>
    </row>
    <row r="7" spans="1:29" ht="14.25" x14ac:dyDescent="0.3">
      <c r="B7" s="1398"/>
      <c r="C7" s="1402" t="str">
        <f>IF('0 Úvod'!$M$10="English",Slovnik!D437,Slovnik!C437)</f>
        <v>Celkové přírůstkové provozní náklady vozidel</v>
      </c>
      <c r="D7" s="1426">
        <f>SUM(E7:S7,E20:S20)</f>
        <v>0</v>
      </c>
      <c r="E7" s="1542">
        <f>IF(E2&lt;=('0 Úvod'!$G$18+'0 Úvod'!$J$18-1),IF($S$30="ŽELEZNIČNÍ",'4 PN vozidel'!E54+'4 PN vozidel'!E55,IF($S$30="SILNIČNÍ",'4 PN vozidel'!E56+'4 PN vozidel'!E57,IF($S$30="VODNÍ",'4 PN vozidel'!E58+'4 PN vozidel'!E59,IF($S$30="MHD",'4 PN vozidel'!E61,IF($S$30="MHD (vč. MĚSTSKÝ BUS)",'4 PN vozidel'!E60+'4 PN vozidel'!E61,0))))),0)</f>
        <v>0</v>
      </c>
      <c r="F7" s="1542">
        <f>IF(F2&lt;=('0 Úvod'!$G$18+'0 Úvod'!$J$18-1),IF($S$30="ŽELEZNIČNÍ",'4 PN vozidel'!F54+'4 PN vozidel'!F55,IF($S$30="SILNIČNÍ",'4 PN vozidel'!F56+'4 PN vozidel'!F57,IF($S$30="VODNÍ",'4 PN vozidel'!F58+'4 PN vozidel'!F59,IF($S$30="MHD",'4 PN vozidel'!F61,IF($S$30="MHD (vč. MĚSTSKÝ BUS)",'4 PN vozidel'!F60+'4 PN vozidel'!F61,0))))),0)</f>
        <v>0</v>
      </c>
      <c r="G7" s="1542">
        <f>IF(G2&lt;=('0 Úvod'!$G$18+'0 Úvod'!$J$18-1),IF($S$30="ŽELEZNIČNÍ",'4 PN vozidel'!G54+'4 PN vozidel'!G55,IF($S$30="SILNIČNÍ",'4 PN vozidel'!G56+'4 PN vozidel'!G57,IF($S$30="VODNÍ",'4 PN vozidel'!G58+'4 PN vozidel'!G59,IF($S$30="MHD",'4 PN vozidel'!G61,IF($S$30="MHD (vč. MĚSTSKÝ BUS)",'4 PN vozidel'!G60+'4 PN vozidel'!G61,0))))),0)</f>
        <v>0</v>
      </c>
      <c r="H7" s="1542">
        <f>IF(H2&lt;=('0 Úvod'!$G$18+'0 Úvod'!$J$18-1),IF($S$30="ŽELEZNIČNÍ",'4 PN vozidel'!H54+'4 PN vozidel'!H55,IF($S$30="SILNIČNÍ",'4 PN vozidel'!H56+'4 PN vozidel'!H57,IF($S$30="VODNÍ",'4 PN vozidel'!H58+'4 PN vozidel'!H59,IF($S$30="MHD",'4 PN vozidel'!H61,IF($S$30="MHD (vč. MĚSTSKÝ BUS)",'4 PN vozidel'!H60+'4 PN vozidel'!H61,0))))),0)</f>
        <v>0</v>
      </c>
      <c r="I7" s="1542">
        <f>IF(I2&lt;=('0 Úvod'!$G$18+'0 Úvod'!$J$18-1),IF($S$30="ŽELEZNIČNÍ",'4 PN vozidel'!I54+'4 PN vozidel'!I55,IF($S$30="SILNIČNÍ",'4 PN vozidel'!I56+'4 PN vozidel'!I57,IF($S$30="VODNÍ",'4 PN vozidel'!I58+'4 PN vozidel'!I59,IF($S$30="MHD",'4 PN vozidel'!I61,IF($S$30="MHD (vč. MĚSTSKÝ BUS)",'4 PN vozidel'!I60+'4 PN vozidel'!I61,0))))),0)</f>
        <v>0</v>
      </c>
      <c r="J7" s="1542">
        <f>IF(J2&lt;=('0 Úvod'!$G$18+'0 Úvod'!$J$18-1),IF($S$30="ŽELEZNIČNÍ",'4 PN vozidel'!J54+'4 PN vozidel'!J55,IF($S$30="SILNIČNÍ",'4 PN vozidel'!J56+'4 PN vozidel'!J57,IF($S$30="VODNÍ",'4 PN vozidel'!J58+'4 PN vozidel'!J59,IF($S$30="MHD",'4 PN vozidel'!J61,IF($S$30="MHD (vč. MĚSTSKÝ BUS)",'4 PN vozidel'!J60+'4 PN vozidel'!J61,0))))),0)</f>
        <v>0</v>
      </c>
      <c r="K7" s="1542">
        <f>IF(K2&lt;=('0 Úvod'!$G$18+'0 Úvod'!$J$18-1),IF($S$30="ŽELEZNIČNÍ",'4 PN vozidel'!K54+'4 PN vozidel'!K55,IF($S$30="SILNIČNÍ",'4 PN vozidel'!K56+'4 PN vozidel'!K57,IF($S$30="VODNÍ",'4 PN vozidel'!K58+'4 PN vozidel'!K59,IF($S$30="MHD",'4 PN vozidel'!K61,IF($S$30="MHD (vč. MĚSTSKÝ BUS)",'4 PN vozidel'!K60+'4 PN vozidel'!K61,0))))),0)</f>
        <v>0</v>
      </c>
      <c r="L7" s="1542">
        <f>IF(L2&lt;=('0 Úvod'!$G$18+'0 Úvod'!$J$18-1),IF($S$30="ŽELEZNIČNÍ",'4 PN vozidel'!L54+'4 PN vozidel'!L55,IF($S$30="SILNIČNÍ",'4 PN vozidel'!L56+'4 PN vozidel'!L57,IF($S$30="VODNÍ",'4 PN vozidel'!L58+'4 PN vozidel'!L59,IF($S$30="MHD",'4 PN vozidel'!L61,IF($S$30="MHD (vč. MĚSTSKÝ BUS)",'4 PN vozidel'!L60+'4 PN vozidel'!L61,0))))),0)</f>
        <v>0</v>
      </c>
      <c r="M7" s="1542">
        <f>IF(M2&lt;=('0 Úvod'!$G$18+'0 Úvod'!$J$18-1),IF($S$30="ŽELEZNIČNÍ",'4 PN vozidel'!M54+'4 PN vozidel'!M55,IF($S$30="SILNIČNÍ",'4 PN vozidel'!M56+'4 PN vozidel'!M57,IF($S$30="VODNÍ",'4 PN vozidel'!M58+'4 PN vozidel'!M59,IF($S$30="MHD",'4 PN vozidel'!M61,IF($S$30="MHD (vč. MĚSTSKÝ BUS)",'4 PN vozidel'!M60+'4 PN vozidel'!M61,0))))),0)</f>
        <v>0</v>
      </c>
      <c r="N7" s="1542">
        <f>IF(N2&lt;=('0 Úvod'!$G$18+'0 Úvod'!$J$18-1),IF($S$30="ŽELEZNIČNÍ",'4 PN vozidel'!N54+'4 PN vozidel'!N55,IF($S$30="SILNIČNÍ",'4 PN vozidel'!N56+'4 PN vozidel'!N57,IF($S$30="VODNÍ",'4 PN vozidel'!N58+'4 PN vozidel'!N59,IF($S$30="MHD",'4 PN vozidel'!N61,IF($S$30="MHD (vč. MĚSTSKÝ BUS)",'4 PN vozidel'!N60+'4 PN vozidel'!N61,0))))),0)</f>
        <v>0</v>
      </c>
      <c r="O7" s="1542">
        <f>IF(O2&lt;=('0 Úvod'!$G$18+'0 Úvod'!$J$18-1),IF($S$30="ŽELEZNIČNÍ",'4 PN vozidel'!O54+'4 PN vozidel'!O55,IF($S$30="SILNIČNÍ",'4 PN vozidel'!O56+'4 PN vozidel'!O57,IF($S$30="VODNÍ",'4 PN vozidel'!O58+'4 PN vozidel'!O59,IF($S$30="MHD",'4 PN vozidel'!O61,IF($S$30="MHD (vč. MĚSTSKÝ BUS)",'4 PN vozidel'!O60+'4 PN vozidel'!O61,0))))),0)</f>
        <v>0</v>
      </c>
      <c r="P7" s="1542">
        <f>IF(P2&lt;=('0 Úvod'!$G$18+'0 Úvod'!$J$18-1),IF($S$30="ŽELEZNIČNÍ",'4 PN vozidel'!P54+'4 PN vozidel'!P55,IF($S$30="SILNIČNÍ",'4 PN vozidel'!P56+'4 PN vozidel'!P57,IF($S$30="VODNÍ",'4 PN vozidel'!P58+'4 PN vozidel'!P59,IF($S$30="MHD",'4 PN vozidel'!P61,IF($S$30="MHD (vč. MĚSTSKÝ BUS)",'4 PN vozidel'!P60+'4 PN vozidel'!P61,0))))),0)</f>
        <v>0</v>
      </c>
      <c r="Q7" s="1542">
        <f>IF(Q2&lt;=('0 Úvod'!$G$18+'0 Úvod'!$J$18-1),IF($S$30="ŽELEZNIČNÍ",'4 PN vozidel'!Q54+'4 PN vozidel'!Q55,IF($S$30="SILNIČNÍ",'4 PN vozidel'!Q56+'4 PN vozidel'!Q57,IF($S$30="VODNÍ",'4 PN vozidel'!Q58+'4 PN vozidel'!Q59,IF($S$30="MHD",'4 PN vozidel'!Q61,IF($S$30="MHD (vč. MĚSTSKÝ BUS)",'4 PN vozidel'!Q60+'4 PN vozidel'!Q61,0))))),0)</f>
        <v>0</v>
      </c>
      <c r="R7" s="1542">
        <f>IF(R2&lt;=('0 Úvod'!$G$18+'0 Úvod'!$J$18-1),IF($S$30="ŽELEZNIČNÍ",'4 PN vozidel'!R54+'4 PN vozidel'!R55,IF($S$30="SILNIČNÍ",'4 PN vozidel'!R56+'4 PN vozidel'!R57,IF($S$30="VODNÍ",'4 PN vozidel'!R58+'4 PN vozidel'!R59,IF($S$30="MHD",'4 PN vozidel'!R61,IF($S$30="MHD (vč. MĚSTSKÝ BUS)",'4 PN vozidel'!R60+'4 PN vozidel'!R61,0))))),0)</f>
        <v>0</v>
      </c>
      <c r="S7" s="1543">
        <f>IF(S2&lt;=('0 Úvod'!$G$18+'0 Úvod'!$J$18-1),IF($S$30="ŽELEZNIČNÍ",'4 PN vozidel'!S54+'4 PN vozidel'!S55,IF($S$30="SILNIČNÍ",'4 PN vozidel'!S56+'4 PN vozidel'!S57,IF($S$30="VODNÍ",'4 PN vozidel'!S58+'4 PN vozidel'!S59,IF($S$30="MHD",'4 PN vozidel'!S61,IF($S$30="MHD (vč. MĚSTSKÝ BUS)",'4 PN vozidel'!S60+'4 PN vozidel'!S61,0))))),0)</f>
        <v>0</v>
      </c>
      <c r="T7" s="1371"/>
      <c r="U7" s="1371"/>
      <c r="V7" s="1375" t="s">
        <v>1388</v>
      </c>
      <c r="W7" s="1371"/>
      <c r="X7" s="1371"/>
      <c r="Y7" s="1371"/>
      <c r="Z7" s="1371"/>
      <c r="AA7" s="1371"/>
      <c r="AB7" s="1371"/>
      <c r="AC7" s="1371"/>
    </row>
    <row r="8" spans="1:29" ht="14.25" x14ac:dyDescent="0.3">
      <c r="B8" s="1398"/>
      <c r="C8" s="1403" t="str">
        <f>IF('0 Úvod'!$M$10="English",Slovnik!D438,Slovnik!C438)</f>
        <v>Celkové invest. náklady bez rezervy</v>
      </c>
      <c r="D8" s="1426">
        <f>SUM(E8:S8,E21:S21)</f>
        <v>745162206.95570385</v>
      </c>
      <c r="E8" s="1542">
        <f>IF($S$29="SILNIČNÍ",'1 CIN'!G11+'1 CIN'!G14,'1 CIN'!G11)</f>
        <v>86484854.854751453</v>
      </c>
      <c r="F8" s="1542">
        <f>IF($S$29="SILNIČNÍ",'1 CIN'!H11+'1 CIN'!H14,'1 CIN'!H11)</f>
        <v>644597564.10095239</v>
      </c>
      <c r="G8" s="1542">
        <f>IF($S$29="SILNIČNÍ",'1 CIN'!I11+'1 CIN'!I14,'1 CIN'!I11)</f>
        <v>14079788</v>
      </c>
      <c r="H8" s="1542">
        <f>IF($S$29="SILNIČNÍ",'1 CIN'!J11+'1 CIN'!J14,'1 CIN'!J11)</f>
        <v>0</v>
      </c>
      <c r="I8" s="1542">
        <f>IF($S$29="SILNIČNÍ",'1 CIN'!K11+'1 CIN'!K14,'1 CIN'!K11)</f>
        <v>0</v>
      </c>
      <c r="J8" s="1542">
        <f>IF($S$29="SILNIČNÍ",'1 CIN'!L11+'1 CIN'!L14,'1 CIN'!L11)</f>
        <v>0</v>
      </c>
      <c r="K8" s="1542">
        <f>IF($S$29="SILNIČNÍ",'1 CIN'!M11+'1 CIN'!M14,'1 CIN'!M11)</f>
        <v>0</v>
      </c>
      <c r="L8" s="1542">
        <f>IF($S$29="SILNIČNÍ",'1 CIN'!N11+'1 CIN'!N14,'1 CIN'!N11)</f>
        <v>0</v>
      </c>
      <c r="M8" s="1542">
        <f>IF($S$29="SILNIČNÍ",'1 CIN'!O11+'1 CIN'!O14,'1 CIN'!O11)</f>
        <v>0</v>
      </c>
      <c r="N8" s="1542">
        <f>IF($S$29="SILNIČNÍ",'1 CIN'!P11+'1 CIN'!P14,'1 CIN'!P11)</f>
        <v>0</v>
      </c>
      <c r="O8" s="1542">
        <f>IF($S$29="SILNIČNÍ",'1 CIN'!Q11+'1 CIN'!Q14,'1 CIN'!Q11)</f>
        <v>0</v>
      </c>
      <c r="P8" s="1542">
        <f>IF($S$29="SILNIČNÍ",'1 CIN'!R11+'1 CIN'!R14,'1 CIN'!R11)</f>
        <v>0</v>
      </c>
      <c r="Q8" s="1542">
        <f>IF($S$29="SILNIČNÍ",'1 CIN'!S11+'1 CIN'!S14,'1 CIN'!S11)</f>
        <v>0</v>
      </c>
      <c r="R8" s="1542">
        <f>IF($S$29="SILNIČNÍ",'1 CIN'!T11+'1 CIN'!T14,'1 CIN'!T11)</f>
        <v>0</v>
      </c>
      <c r="S8" s="1543">
        <f>IF($S$29="SILNIČNÍ",'1 CIN'!U11+'1 CIN'!U14,'1 CIN'!U11)</f>
        <v>0</v>
      </c>
      <c r="T8" s="1371"/>
      <c r="U8" s="1371"/>
      <c r="V8" s="1371"/>
      <c r="W8" s="1371"/>
      <c r="X8" s="1371"/>
      <c r="Y8" s="1371"/>
      <c r="Z8" s="1371"/>
      <c r="AA8" s="1371"/>
      <c r="AB8" s="1371"/>
      <c r="AC8" s="1371"/>
    </row>
    <row r="9" spans="1:29" ht="14.25" x14ac:dyDescent="0.3">
      <c r="B9" s="1398"/>
      <c r="C9" s="1403" t="str">
        <f>IF('0 Úvod'!$M$10="English",Slovnik!D439,Slovnik!C439)</f>
        <v>Zůstatková hodnota (záporná)</v>
      </c>
      <c r="D9" s="1426">
        <f>SUM(E9:S9,E22:S22)</f>
        <v>-37866348.040484771</v>
      </c>
      <c r="E9" s="1542">
        <f>IF(E2='0 Úvod'!$G$18+'0 Úvod'!$J$18-1,-1*'2 ZH'!$D$47,0)</f>
        <v>0</v>
      </c>
      <c r="F9" s="1542">
        <f>IF(F2='0 Úvod'!$G$18+'0 Úvod'!$J$18-1,-1*'2 ZH'!$D$47,0)</f>
        <v>0</v>
      </c>
      <c r="G9" s="1542">
        <f>IF(G2='0 Úvod'!$G$18+'0 Úvod'!$J$18-1,-1*'2 ZH'!$D$47,0)</f>
        <v>0</v>
      </c>
      <c r="H9" s="1542">
        <f>IF(H2='0 Úvod'!$G$18+'0 Úvod'!$J$18-1,-1*'2 ZH'!$D$47,0)</f>
        <v>0</v>
      </c>
      <c r="I9" s="1542">
        <f>IF(I2='0 Úvod'!$G$18+'0 Úvod'!$J$18-1,-1*'2 ZH'!$D$47,0)</f>
        <v>0</v>
      </c>
      <c r="J9" s="1542">
        <f>IF(J2='0 Úvod'!$G$18+'0 Úvod'!$J$18-1,-1*'2 ZH'!$D$47,0)</f>
        <v>0</v>
      </c>
      <c r="K9" s="1542">
        <f>IF(K2='0 Úvod'!$G$18+'0 Úvod'!$J$18-1,-1*'2 ZH'!$D$47,0)</f>
        <v>0</v>
      </c>
      <c r="L9" s="1542">
        <f>IF(L2='0 Úvod'!$G$18+'0 Úvod'!$J$18-1,-1*'2 ZH'!$D$47,0)</f>
        <v>0</v>
      </c>
      <c r="M9" s="1542">
        <f>IF(M2='0 Úvod'!$G$18+'0 Úvod'!$J$18-1,-1*'2 ZH'!$D$47,0)</f>
        <v>0</v>
      </c>
      <c r="N9" s="1542">
        <f>IF(N2='0 Úvod'!$G$18+'0 Úvod'!$J$18-1,-1*'2 ZH'!$D$47,0)</f>
        <v>0</v>
      </c>
      <c r="O9" s="1542">
        <f>IF(O2='0 Úvod'!$G$18+'0 Úvod'!$J$18-1,-1*'2 ZH'!$D$47,0)</f>
        <v>0</v>
      </c>
      <c r="P9" s="1542">
        <f>IF(P2='0 Úvod'!$G$18+'0 Úvod'!$J$18-1,-1*'2 ZH'!$D$47,0)</f>
        <v>0</v>
      </c>
      <c r="Q9" s="1542">
        <f>IF(Q2='0 Úvod'!$G$18+'0 Úvod'!$J$18-1,-1*'2 ZH'!$D$47,0)</f>
        <v>0</v>
      </c>
      <c r="R9" s="1542">
        <f>IF(R2='0 Úvod'!$G$18+'0 Úvod'!$J$18-1,-1*'2 ZH'!$D$47,0)</f>
        <v>0</v>
      </c>
      <c r="S9" s="1543">
        <f>IF(S2='0 Úvod'!$G$18+'0 Úvod'!$J$18-1,-1*'2 ZH'!$D$47,0)</f>
        <v>0</v>
      </c>
      <c r="T9" s="1371"/>
      <c r="U9" s="1371"/>
      <c r="V9" s="1371"/>
      <c r="W9" s="1371"/>
      <c r="X9" s="1371"/>
      <c r="Y9" s="1371"/>
      <c r="Z9" s="1371"/>
      <c r="AA9" s="1371"/>
      <c r="AB9" s="1371"/>
      <c r="AC9" s="1371"/>
    </row>
    <row r="10" spans="1:29" ht="15" thickBot="1" x14ac:dyDescent="0.35">
      <c r="B10" s="1404"/>
      <c r="C10" s="1405" t="str">
        <f>IF('0 Úvod'!$M$10="English",Slovnik!D440,Slovnik!C440)</f>
        <v>Celkové náklady</v>
      </c>
      <c r="D10" s="1376">
        <f t="shared" ref="D10:S10" si="2">SUM(D6:D9)</f>
        <v>557180534.61979306</v>
      </c>
      <c r="E10" s="1544">
        <f t="shared" si="2"/>
        <v>86484854.854751453</v>
      </c>
      <c r="F10" s="1544">
        <f t="shared" si="2"/>
        <v>644597564.10095239</v>
      </c>
      <c r="G10" s="1544">
        <f t="shared" si="2"/>
        <v>-239591344.51507545</v>
      </c>
      <c r="H10" s="1544">
        <f t="shared" si="2"/>
        <v>-1072652.8498773426</v>
      </c>
      <c r="I10" s="1544">
        <f t="shared" si="2"/>
        <v>-1074180.7863532621</v>
      </c>
      <c r="J10" s="1544">
        <f t="shared" si="2"/>
        <v>-1075716.3625115603</v>
      </c>
      <c r="K10" s="1544">
        <f t="shared" si="2"/>
        <v>-1077259.6165506504</v>
      </c>
      <c r="L10" s="1544">
        <f t="shared" si="2"/>
        <v>-1078810.586859935</v>
      </c>
      <c r="M10" s="1544">
        <f t="shared" si="2"/>
        <v>-130880369.31202076</v>
      </c>
      <c r="N10" s="1544">
        <f t="shared" si="2"/>
        <v>-1081935.8308074037</v>
      </c>
      <c r="O10" s="1544">
        <f t="shared" si="2"/>
        <v>-1083510.1821879726</v>
      </c>
      <c r="P10" s="1544">
        <f t="shared" si="2"/>
        <v>-1085092.4053254453</v>
      </c>
      <c r="Q10" s="1544">
        <f t="shared" si="2"/>
        <v>-1086682.5395786036</v>
      </c>
      <c r="R10" s="1544">
        <f t="shared" si="2"/>
        <v>-1088280.6245030286</v>
      </c>
      <c r="S10" s="1545">
        <f t="shared" si="2"/>
        <v>-1089886.6998520764</v>
      </c>
      <c r="T10" s="1374"/>
      <c r="U10" s="1374"/>
      <c r="V10" s="1374"/>
      <c r="W10" s="1374"/>
      <c r="X10" s="1374"/>
      <c r="Y10" s="1374"/>
      <c r="Z10" s="1374"/>
      <c r="AA10" s="1374"/>
      <c r="AB10" s="1374"/>
      <c r="AC10" s="1374"/>
    </row>
    <row r="11" spans="1:29" ht="14.25" x14ac:dyDescent="0.3">
      <c r="B11" s="1372"/>
      <c r="C11" s="1400" t="str">
        <f>IF('0 Úvod'!$M$10="English",Slovnik!D441,Slovnik!C441)</f>
        <v xml:space="preserve">Cash Flow </v>
      </c>
      <c r="D11" s="1373"/>
      <c r="E11" s="1516">
        <f t="shared" ref="E11:S11" si="3">E5-E10</f>
        <v>-86484854.854751453</v>
      </c>
      <c r="F11" s="1516">
        <f t="shared" si="3"/>
        <v>-644597564.10095239</v>
      </c>
      <c r="G11" s="1516">
        <f t="shared" si="3"/>
        <v>246953804.51507545</v>
      </c>
      <c r="H11" s="1516">
        <f t="shared" si="3"/>
        <v>1072652.8498773426</v>
      </c>
      <c r="I11" s="1516">
        <f t="shared" si="3"/>
        <v>1074180.7863532621</v>
      </c>
      <c r="J11" s="1516">
        <f t="shared" si="3"/>
        <v>1075716.3625115603</v>
      </c>
      <c r="K11" s="1516">
        <f t="shared" si="3"/>
        <v>1077259.6165506504</v>
      </c>
      <c r="L11" s="1516">
        <f t="shared" si="3"/>
        <v>1078810.586859935</v>
      </c>
      <c r="M11" s="1516">
        <f t="shared" si="3"/>
        <v>130880369.31202076</v>
      </c>
      <c r="N11" s="1516">
        <f t="shared" si="3"/>
        <v>1081935.8308074037</v>
      </c>
      <c r="O11" s="1516">
        <f t="shared" si="3"/>
        <v>1083510.1821879726</v>
      </c>
      <c r="P11" s="1516">
        <f t="shared" si="3"/>
        <v>1085092.4053254453</v>
      </c>
      <c r="Q11" s="1516">
        <f t="shared" si="3"/>
        <v>1086682.5395786036</v>
      </c>
      <c r="R11" s="1516">
        <f t="shared" si="3"/>
        <v>1088280.6245030286</v>
      </c>
      <c r="S11" s="1517">
        <f t="shared" si="3"/>
        <v>1089886.6998520764</v>
      </c>
      <c r="T11" s="1374"/>
      <c r="U11" s="1374"/>
      <c r="V11" s="1374"/>
      <c r="W11" s="1374"/>
      <c r="X11" s="1374"/>
      <c r="Y11" s="1374"/>
      <c r="Z11" s="1374"/>
      <c r="AA11" s="1374"/>
      <c r="AB11" s="1374"/>
      <c r="AC11" s="1374"/>
    </row>
    <row r="12" spans="1:29" ht="14.25" x14ac:dyDescent="0.3">
      <c r="A12" s="950"/>
      <c r="B12" s="1406"/>
      <c r="C12" s="1403" t="str">
        <f>IF('0 Úvod'!$M$10="English",Slovnik!D442,Slovnik!C442)</f>
        <v>Diskontní sazba</v>
      </c>
      <c r="D12" s="1423">
        <f>'0 Úvod'!J20</f>
        <v>0.04</v>
      </c>
      <c r="E12" s="1574">
        <v>1</v>
      </c>
      <c r="F12" s="1574">
        <f>E12/(1+$D$12)</f>
        <v>0.96153846153846145</v>
      </c>
      <c r="G12" s="1574">
        <f>F12/(1+$D$12)</f>
        <v>0.92455621301775137</v>
      </c>
      <c r="H12" s="1574">
        <f>G12*1/(1+$D$12)</f>
        <v>0.88899635867091475</v>
      </c>
      <c r="I12" s="1574">
        <f>H12*1/(1+$D$12)</f>
        <v>0.85480419102972571</v>
      </c>
      <c r="J12" s="1574">
        <f t="shared" ref="J12:S12" si="4">I12*1/(1+$D$12)</f>
        <v>0.82192710675935166</v>
      </c>
      <c r="K12" s="1574">
        <f t="shared" si="4"/>
        <v>0.79031452573014582</v>
      </c>
      <c r="L12" s="1574">
        <f t="shared" si="4"/>
        <v>0.75991781320206331</v>
      </c>
      <c r="M12" s="1574">
        <f t="shared" si="4"/>
        <v>0.73069020500198389</v>
      </c>
      <c r="N12" s="1574">
        <f t="shared" si="4"/>
        <v>0.70258673557883067</v>
      </c>
      <c r="O12" s="1574">
        <f t="shared" si="4"/>
        <v>0.67556416882579873</v>
      </c>
      <c r="P12" s="1574">
        <f t="shared" si="4"/>
        <v>0.64958093156326802</v>
      </c>
      <c r="Q12" s="1574">
        <f t="shared" si="4"/>
        <v>0.62459704958006534</v>
      </c>
      <c r="R12" s="1574">
        <f t="shared" si="4"/>
        <v>0.60057408613467822</v>
      </c>
      <c r="S12" s="1575">
        <f t="shared" si="4"/>
        <v>0.57747508282180593</v>
      </c>
      <c r="T12" s="1377"/>
      <c r="U12" s="1377"/>
      <c r="V12" s="1377"/>
      <c r="W12" s="1377"/>
      <c r="X12" s="1377"/>
      <c r="Y12" s="1377"/>
      <c r="Z12" s="1377"/>
      <c r="AA12" s="1377"/>
      <c r="AB12" s="1377"/>
      <c r="AC12" s="1377"/>
    </row>
    <row r="13" spans="1:29" s="1371" customFormat="1" ht="15" thickBot="1" x14ac:dyDescent="0.35">
      <c r="A13" s="1374"/>
      <c r="B13" s="1407"/>
      <c r="C13" s="1408" t="str">
        <f>IF('0 Úvod'!$M$10="English",Slovnik!D443,Slovnik!C443)</f>
        <v>Diskontované cash flow</v>
      </c>
      <c r="D13" s="1424">
        <f>SUM(E13:S13,E26:S26)</f>
        <v>-442633015.09250969</v>
      </c>
      <c r="E13" s="1576">
        <f>E11*E12</f>
        <v>-86484854.854751453</v>
      </c>
      <c r="F13" s="1576">
        <f t="shared" ref="F13:S13" si="5">F11*F12</f>
        <v>-619805350.0970695</v>
      </c>
      <c r="G13" s="1576">
        <f t="shared" si="5"/>
        <v>228322674.29278421</v>
      </c>
      <c r="H13" s="1576">
        <f t="shared" si="5"/>
        <v>953584.47765893687</v>
      </c>
      <c r="I13" s="1576">
        <f t="shared" si="5"/>
        <v>918214.23809837492</v>
      </c>
      <c r="J13" s="1576">
        <f t="shared" si="5"/>
        <v>884160.43753282062</v>
      </c>
      <c r="K13" s="1576">
        <f t="shared" si="5"/>
        <v>851373.9229424661</v>
      </c>
      <c r="L13" s="1576">
        <f t="shared" si="5"/>
        <v>819807.38202583638</v>
      </c>
      <c r="M13" s="1576">
        <f t="shared" si="5"/>
        <v>95633003.883335814</v>
      </c>
      <c r="N13" s="1576">
        <f t="shared" si="5"/>
        <v>760153.7634727438</v>
      </c>
      <c r="O13" s="1576">
        <f t="shared" si="5"/>
        <v>731980.65564410749</v>
      </c>
      <c r="P13" s="1576">
        <f t="shared" si="5"/>
        <v>704855.33548352995</v>
      </c>
      <c r="Q13" s="1576">
        <f t="shared" si="5"/>
        <v>678738.70805096836</v>
      </c>
      <c r="R13" s="1576">
        <f t="shared" si="5"/>
        <v>653593.14151898329</v>
      </c>
      <c r="S13" s="1577">
        <f t="shared" si="5"/>
        <v>629382.41226346255</v>
      </c>
      <c r="T13" s="1374"/>
      <c r="U13" s="1374"/>
      <c r="V13" s="1374"/>
      <c r="W13" s="1374"/>
      <c r="X13" s="1374"/>
      <c r="Y13" s="1374"/>
      <c r="Z13" s="1374"/>
      <c r="AA13" s="1374"/>
      <c r="AB13" s="1374"/>
      <c r="AC13" s="1374"/>
    </row>
    <row r="14" spans="1:29" ht="12" customHeight="1" thickBot="1" x14ac:dyDescent="0.35">
      <c r="D14" s="1546"/>
      <c r="E14" s="1524">
        <f>IF(E2&gt;='0 Úvod'!$G$20,E4-E6-E7,0)</f>
        <v>0</v>
      </c>
      <c r="F14" s="1524">
        <f>IF(F2&gt;='0 Úvod'!$G$20,F4-F6-F7,0)</f>
        <v>0</v>
      </c>
      <c r="G14" s="1524">
        <f>IF(G2&gt;='0 Úvod'!$G$20,G4-G6-G7,0)</f>
        <v>261033592.51507545</v>
      </c>
      <c r="H14" s="1524">
        <f>IF(H2&gt;='0 Úvod'!$G$20,H4-H6-H7,0)</f>
        <v>1072652.8498773426</v>
      </c>
      <c r="I14" s="1524">
        <f>IF(I2&gt;='0 Úvod'!$G$20,I4-I6-I7,0)</f>
        <v>1074180.7863532621</v>
      </c>
      <c r="J14" s="1524">
        <f>IF(J2&gt;='0 Úvod'!$G$20,J4-J6-J7,0)</f>
        <v>1075716.3625115603</v>
      </c>
      <c r="K14" s="1524">
        <f>IF(K2&gt;='0 Úvod'!$G$20,K4-K6-K7,0)</f>
        <v>1077259.6165506504</v>
      </c>
      <c r="L14" s="1524">
        <f>IF(L2&gt;='0 Úvod'!$G$20,L4-L6-L7,0)</f>
        <v>1078810.586859935</v>
      </c>
      <c r="M14" s="1524">
        <f>IF(M2&gt;='0 Úvod'!$G$20,M4-M6-M7,0)</f>
        <v>130880369.31202076</v>
      </c>
      <c r="N14" s="1524">
        <f>IF(N2&gt;='0 Úvod'!$G$20,N4-N6-N7,0)</f>
        <v>1081935.8308074037</v>
      </c>
      <c r="O14" s="1524">
        <f>IF(O2&gt;='0 Úvod'!$G$20,O4-O6-O7,0)</f>
        <v>1083510.1821879726</v>
      </c>
      <c r="P14" s="1524">
        <f>IF(P2&gt;='0 Úvod'!$G$20,P4-P6-P7,0)</f>
        <v>1085092.4053254453</v>
      </c>
      <c r="Q14" s="1524">
        <f>IF(Q2&gt;='0 Úvod'!$G$20,Q4-Q6-Q7,0)</f>
        <v>1086682.5395786036</v>
      </c>
      <c r="R14" s="1524">
        <f>IF(R2&gt;='0 Úvod'!$G$20,R4-R6-R7,0)</f>
        <v>1088280.6245030286</v>
      </c>
      <c r="S14" s="1524">
        <f>IF(S2&gt;='0 Úvod'!$G$20,S4-S6-S7,0)</f>
        <v>1089886.6998520764</v>
      </c>
      <c r="T14" s="1371"/>
      <c r="U14" s="1371"/>
      <c r="V14" s="1371"/>
      <c r="W14" s="1371"/>
      <c r="X14" s="1371"/>
      <c r="Y14" s="1371"/>
      <c r="Z14" s="1371"/>
      <c r="AA14" s="1371"/>
      <c r="AB14" s="1371"/>
    </row>
    <row r="15" spans="1:29" ht="14.25" x14ac:dyDescent="0.3">
      <c r="A15" s="1378"/>
      <c r="B15" s="1393" t="s">
        <v>21</v>
      </c>
      <c r="C15" s="209" t="str">
        <f>C2</f>
        <v>Kalkulace finančního vnitřního výnosového procenta</v>
      </c>
      <c r="D15" s="1547"/>
      <c r="E15" s="2321">
        <f>S2+1</f>
        <v>2036</v>
      </c>
      <c r="F15" s="2323">
        <f t="shared" ref="F15:S15" si="6">E15+1</f>
        <v>2037</v>
      </c>
      <c r="G15" s="2323">
        <f t="shared" si="6"/>
        <v>2038</v>
      </c>
      <c r="H15" s="2323">
        <f t="shared" si="6"/>
        <v>2039</v>
      </c>
      <c r="I15" s="2323">
        <f t="shared" si="6"/>
        <v>2040</v>
      </c>
      <c r="J15" s="2323">
        <f t="shared" si="6"/>
        <v>2041</v>
      </c>
      <c r="K15" s="2323">
        <f t="shared" si="6"/>
        <v>2042</v>
      </c>
      <c r="L15" s="2323">
        <f t="shared" si="6"/>
        <v>2043</v>
      </c>
      <c r="M15" s="2323">
        <f t="shared" si="6"/>
        <v>2044</v>
      </c>
      <c r="N15" s="2323">
        <f t="shared" si="6"/>
        <v>2045</v>
      </c>
      <c r="O15" s="2323">
        <f t="shared" si="6"/>
        <v>2046</v>
      </c>
      <c r="P15" s="2323">
        <f t="shared" si="6"/>
        <v>2047</v>
      </c>
      <c r="Q15" s="2323">
        <f t="shared" si="6"/>
        <v>2048</v>
      </c>
      <c r="R15" s="2323">
        <f t="shared" si="6"/>
        <v>2049</v>
      </c>
      <c r="S15" s="2329">
        <f t="shared" si="6"/>
        <v>2050</v>
      </c>
      <c r="T15" s="977"/>
      <c r="U15" s="978"/>
      <c r="V15" s="978"/>
      <c r="W15" s="978"/>
      <c r="X15" s="978"/>
      <c r="Y15" s="978"/>
      <c r="Z15" s="978"/>
      <c r="AA15" s="978"/>
      <c r="AB15" s="978"/>
      <c r="AC15" s="978"/>
    </row>
    <row r="16" spans="1:29" ht="12.75" customHeight="1" thickBot="1" x14ac:dyDescent="0.35">
      <c r="A16" s="1379"/>
      <c r="B16" s="210" t="s">
        <v>24</v>
      </c>
      <c r="C16" s="1394"/>
      <c r="D16" s="1395"/>
      <c r="E16" s="2576"/>
      <c r="F16" s="2575"/>
      <c r="G16" s="2575"/>
      <c r="H16" s="2575"/>
      <c r="I16" s="2575"/>
      <c r="J16" s="2575"/>
      <c r="K16" s="2575"/>
      <c r="L16" s="2575"/>
      <c r="M16" s="2575"/>
      <c r="N16" s="2575"/>
      <c r="O16" s="2575"/>
      <c r="P16" s="2575"/>
      <c r="Q16" s="2575"/>
      <c r="R16" s="2575"/>
      <c r="S16" s="2577"/>
      <c r="T16" s="977"/>
      <c r="U16" s="978"/>
      <c r="V16" s="978"/>
      <c r="W16" s="978"/>
      <c r="X16" s="978"/>
      <c r="Y16" s="978"/>
      <c r="Z16" s="978"/>
      <c r="AA16" s="978"/>
      <c r="AB16" s="978"/>
      <c r="AC16" s="978"/>
    </row>
    <row r="17" spans="2:29" ht="14.25" x14ac:dyDescent="0.3">
      <c r="B17" s="1397"/>
      <c r="C17" s="1409" t="str">
        <f t="shared" ref="C17:C26" si="7">C4</f>
        <v>Celkové přírůstkové provozní příjmy</v>
      </c>
      <c r="D17" s="1410"/>
      <c r="E17" s="1540">
        <f>IF(E15&lt;=('0 Úvod'!$G$18+'0 Úvod'!$J$18-1),'8 Příjmy'!E44,0)</f>
        <v>0</v>
      </c>
      <c r="F17" s="1540">
        <f>IF(F15&lt;=('0 Úvod'!$G$18+'0 Úvod'!$J$18-1),'8 Příjmy'!F44,0)</f>
        <v>0</v>
      </c>
      <c r="G17" s="1540">
        <f>IF(G15&lt;=('0 Úvod'!$G$18+'0 Úvod'!$J$18-1),'8 Příjmy'!G44,0)</f>
        <v>0</v>
      </c>
      <c r="H17" s="1540">
        <f>IF(H15&lt;=('0 Úvod'!$G$18+'0 Úvod'!$J$18-1),'8 Příjmy'!H44,0)</f>
        <v>0</v>
      </c>
      <c r="I17" s="1540">
        <f>IF(I15&lt;=('0 Úvod'!$G$18+'0 Úvod'!$J$18-1),'8 Příjmy'!I44,0)</f>
        <v>0</v>
      </c>
      <c r="J17" s="1540">
        <f>IF(J15&lt;=('0 Úvod'!$G$18+'0 Úvod'!$J$18-1),'8 Příjmy'!J44,0)</f>
        <v>0</v>
      </c>
      <c r="K17" s="1540">
        <f>IF(K15&lt;=('0 Úvod'!$G$18+'0 Úvod'!$J$18-1),'8 Příjmy'!K44,0)</f>
        <v>0</v>
      </c>
      <c r="L17" s="1540">
        <f>IF(L15&lt;=('0 Úvod'!$G$18+'0 Úvod'!$J$18-1),'8 Příjmy'!L44,0)</f>
        <v>0</v>
      </c>
      <c r="M17" s="1540">
        <f>IF(M15&lt;=('0 Úvod'!$G$18+'0 Úvod'!$J$18-1),'8 Příjmy'!M44,0)</f>
        <v>0</v>
      </c>
      <c r="N17" s="1540">
        <f>IF(N15&lt;=('0 Úvod'!$G$18+'0 Úvod'!$J$18-1),'8 Příjmy'!N44,0)</f>
        <v>0</v>
      </c>
      <c r="O17" s="1540">
        <f>IF(O15&lt;=('0 Úvod'!$G$18+'0 Úvod'!$J$18-1),'8 Příjmy'!O44,0)</f>
        <v>0</v>
      </c>
      <c r="P17" s="1540">
        <f>IF(P15&lt;=('0 Úvod'!$G$18+'0 Úvod'!$J$18-1),'8 Příjmy'!P44,0)</f>
        <v>0</v>
      </c>
      <c r="Q17" s="1540">
        <f>IF(Q15&lt;=('0 Úvod'!$G$18+'0 Úvod'!$J$18-1),'8 Příjmy'!Q44,0)</f>
        <v>0</v>
      </c>
      <c r="R17" s="1540">
        <f>IF(R15&lt;=('0 Úvod'!$G$18+'0 Úvod'!$J$18-1),'8 Příjmy'!R44,0)</f>
        <v>0</v>
      </c>
      <c r="S17" s="1541">
        <f>IF(S15&lt;=('0 Úvod'!$G$18+'0 Úvod'!$J$18-1),'8 Příjmy'!S44,0)</f>
        <v>0</v>
      </c>
      <c r="T17" s="1371"/>
      <c r="U17" s="1371"/>
      <c r="V17" s="1371"/>
      <c r="W17" s="1371"/>
      <c r="X17" s="1371"/>
      <c r="Y17" s="1371"/>
      <c r="Z17" s="1371"/>
      <c r="AA17" s="1371"/>
      <c r="AB17" s="1371"/>
      <c r="AC17" s="1371"/>
    </row>
    <row r="18" spans="2:29" ht="15" thickBot="1" x14ac:dyDescent="0.35">
      <c r="B18" s="1372"/>
      <c r="C18" s="1380" t="str">
        <f t="shared" si="7"/>
        <v>Celkové výnosy</v>
      </c>
      <c r="D18" s="1411"/>
      <c r="E18" s="1516">
        <f>SUM(E17)</f>
        <v>0</v>
      </c>
      <c r="F18" s="1516">
        <f t="shared" ref="F18:S18" si="8">SUM(F17)</f>
        <v>0</v>
      </c>
      <c r="G18" s="1516">
        <f t="shared" si="8"/>
        <v>0</v>
      </c>
      <c r="H18" s="1516">
        <f t="shared" si="8"/>
        <v>0</v>
      </c>
      <c r="I18" s="1516">
        <f t="shared" si="8"/>
        <v>0</v>
      </c>
      <c r="J18" s="1516">
        <f t="shared" si="8"/>
        <v>0</v>
      </c>
      <c r="K18" s="1516">
        <f t="shared" si="8"/>
        <v>0</v>
      </c>
      <c r="L18" s="1516">
        <f t="shared" si="8"/>
        <v>0</v>
      </c>
      <c r="M18" s="1516">
        <f t="shared" si="8"/>
        <v>0</v>
      </c>
      <c r="N18" s="1516">
        <f t="shared" si="8"/>
        <v>0</v>
      </c>
      <c r="O18" s="1516">
        <f t="shared" si="8"/>
        <v>0</v>
      </c>
      <c r="P18" s="1516">
        <f t="shared" si="8"/>
        <v>0</v>
      </c>
      <c r="Q18" s="1516">
        <f t="shared" si="8"/>
        <v>0</v>
      </c>
      <c r="R18" s="1516">
        <f t="shared" si="8"/>
        <v>0</v>
      </c>
      <c r="S18" s="1517">
        <f t="shared" si="8"/>
        <v>0</v>
      </c>
      <c r="T18" s="1374"/>
      <c r="U18" s="1374"/>
      <c r="V18" s="1374"/>
      <c r="W18" s="1374"/>
      <c r="X18" s="1374"/>
      <c r="Y18" s="1374"/>
      <c r="Z18" s="1374"/>
      <c r="AA18" s="1374"/>
      <c r="AB18" s="1374"/>
      <c r="AC18" s="1374"/>
    </row>
    <row r="19" spans="2:29" ht="14.25" x14ac:dyDescent="0.3">
      <c r="B19" s="1397"/>
      <c r="C19" s="1415" t="str">
        <f t="shared" si="7"/>
        <v>Celkové přírůstkové provozní náklady infrastruktury</v>
      </c>
      <c r="D19" s="1410"/>
      <c r="E19" s="1548">
        <f>IF(E15&lt;=('0 Úvod'!$G$18+'0 Úvod'!$J$18-1),IF($S$29="ŽELEZNIČNÍ",'3 PN infrastruktury'!E71+'3 PN infrastruktury'!E72+'3 PN infrastruktury'!E73,IF($S$29="SILNIČNÍ",'3 PN infrastruktury'!E20-'3 PN infrastruktury'!E47+'3 PN infrastruktury'!E75,IF($S$29="VODNÍ",'3 PN infrastruktury'!E76+'3 PN infrastruktury'!E77,'3 PN infrastruktury'!E78+'3 PN infrastruktury'!E79))),0)</f>
        <v>-1091500.8055778695</v>
      </c>
      <c r="F19" s="1540">
        <f>IF(F15&lt;=('0 Úvod'!$G$18+'0 Úvod'!$J$18-1),IF($S$29="ŽELEZNIČNÍ",'3 PN infrastruktury'!F71+'3 PN infrastruktury'!F72+'3 PN infrastruktury'!F73,IF($S$29="SILNIČNÍ",'3 PN infrastruktury'!F20-'3 PN infrastruktury'!F47+'3 PN infrastruktury'!F75,IF($S$29="VODNÍ",'3 PN infrastruktury'!F76+'3 PN infrastruktury'!F77,'3 PN infrastruktury'!F78+'3 PN infrastruktury'!F79))),0)</f>
        <v>-1093122.9818322891</v>
      </c>
      <c r="G19" s="1540">
        <f>IF(G15&lt;=('0 Úvod'!$G$18+'0 Úvod'!$J$18-1),IF($S$29="ŽELEZNIČNÍ",'3 PN infrastruktury'!G71+'3 PN infrastruktury'!G72+'3 PN infrastruktury'!G73,IF($S$29="SILNIČNÍ",'3 PN infrastruktury'!G20-'3 PN infrastruktury'!G47+'3 PN infrastruktury'!G75,IF($S$29="VODNÍ",'3 PN infrastruktury'!G76+'3 PN infrastruktury'!G77,'3 PN infrastruktury'!G78+'3 PN infrastruktury'!G79))),0)</f>
        <v>-1094753.2689679824</v>
      </c>
      <c r="H19" s="1540">
        <f>IF(H15&lt;=('0 Úvod'!$G$18+'0 Úvod'!$J$18-1),IF($S$29="ŽELEZNIČNÍ",'3 PN infrastruktury'!H71+'3 PN infrastruktury'!H72+'3 PN infrastruktury'!H73,IF($S$29="SILNIČNÍ",'3 PN infrastruktury'!H20-'3 PN infrastruktury'!H47+'3 PN infrastruktury'!H75,IF($S$29="VODNÍ",'3 PN infrastruktury'!H76+'3 PN infrastruktury'!H77,'3 PN infrastruktury'!H78+'3 PN infrastruktury'!H79))),0)</f>
        <v>-1096391.7075393554</v>
      </c>
      <c r="I19" s="1540">
        <f>IF(I15&lt;=('0 Úvod'!$G$18+'0 Úvod'!$J$18-1),IF($S$29="ŽELEZNIČNÍ",'3 PN infrastruktury'!I71+'3 PN infrastruktury'!I72+'3 PN infrastruktury'!I73,IF($S$29="SILNIČNÍ",'3 PN infrastruktury'!I20-'3 PN infrastruktury'!I47+'3 PN infrastruktury'!I75,IF($S$29="VODNÍ",'3 PN infrastruktury'!I76+'3 PN infrastruktury'!I77,'3 PN infrastruktury'!I78+'3 PN infrastruktury'!I79))),0)</f>
        <v>-1098038.3383035837</v>
      </c>
      <c r="J19" s="1540">
        <f>IF(J15&lt;=('0 Úvod'!$G$18+'0 Úvod'!$J$18-1),IF($S$29="ŽELEZNIČNÍ",'3 PN infrastruktury'!J71+'3 PN infrastruktury'!J72+'3 PN infrastruktury'!J73,IF($S$29="SILNIČNÍ",'3 PN infrastruktury'!J20-'3 PN infrastruktury'!J47+'3 PN infrastruktury'!J75,IF($S$29="VODNÍ",'3 PN infrastruktury'!J76+'3 PN infrastruktury'!J77,'3 PN infrastruktury'!J78+'3 PN infrastruktury'!J79))),0)</f>
        <v>-1099693.2022216357</v>
      </c>
      <c r="K19" s="1540">
        <f>IF(K15&lt;=('0 Úvod'!$G$18+'0 Úvod'!$J$18-1),IF($S$29="ŽELEZNIČNÍ",'3 PN infrastruktury'!K71+'3 PN infrastruktury'!K72+'3 PN infrastruktury'!K73,IF($S$29="SILNIČNÍ",'3 PN infrastruktury'!K20-'3 PN infrastruktury'!K47+'3 PN infrastruktury'!K75,IF($S$29="VODNÍ",'3 PN infrastruktury'!K76+'3 PN infrastruktury'!K77,'3 PN infrastruktury'!K78+'3 PN infrastruktury'!K79))),0)</f>
        <v>-1101356.3404592751</v>
      </c>
      <c r="L19" s="1540">
        <f>IF(L15&lt;=('0 Úvod'!$G$18+'0 Úvod'!$J$18-1),IF($S$29="ŽELEZNIČNÍ",'3 PN infrastruktury'!L71+'3 PN infrastruktury'!L72+'3 PN infrastruktury'!L73,IF($S$29="SILNIČNÍ",'3 PN infrastruktury'!L20-'3 PN infrastruktury'!L47+'3 PN infrastruktury'!L75,IF($S$29="VODNÍ",'3 PN infrastruktury'!L76+'3 PN infrastruktury'!L77,'3 PN infrastruktury'!L78+'3 PN infrastruktury'!L79))),0)</f>
        <v>6232010.2313405592</v>
      </c>
      <c r="M19" s="1540">
        <f>IF(M15&lt;=('0 Úvod'!$G$18+'0 Úvod'!$J$18-1),IF($S$29="ŽELEZNIČNÍ",'3 PN infrastruktury'!M71+'3 PN infrastruktury'!M72+'3 PN infrastruktury'!M73,IF($S$29="SILNIČNÍ",'3 PN infrastruktury'!M20-'3 PN infrastruktury'!M47+'3 PN infrastruktury'!M75,IF($S$29="VODNÍ",'3 PN infrastruktury'!M76+'3 PN infrastruktury'!M77,'3 PN infrastruktury'!M78+'3 PN infrastruktury'!M79))),0)</f>
        <v>-1104707.6055865753</v>
      </c>
      <c r="N19" s="1540">
        <f>IF(N15&lt;=('0 Úvod'!$G$18+'0 Úvod'!$J$18-1),IF($S$29="ŽELEZNIČNÍ",'3 PN infrastruktury'!N71+'3 PN infrastruktury'!N72+'3 PN infrastruktury'!N73,IF($S$29="SILNIČNÍ",'3 PN infrastruktury'!N20-'3 PN infrastruktury'!N47+'3 PN infrastruktury'!N75,IF($S$29="VODNÍ",'3 PN infrastruktury'!N76+'3 PN infrastruktury'!N77,'3 PN infrastruktury'!N78+'3 PN infrastruktury'!N79))),0)</f>
        <v>-1106395.8158410406</v>
      </c>
      <c r="O19" s="1540">
        <f>IF(O15&lt;=('0 Úvod'!$G$18+'0 Úvod'!$J$18-1),IF($S$29="ŽELEZNIČNÍ",'3 PN infrastruktury'!O71+'3 PN infrastruktury'!O72+'3 PN infrastruktury'!O73,IF($S$29="SILNIČNÍ",'3 PN infrastruktury'!O20-'3 PN infrastruktury'!O47+'3 PN infrastruktury'!O75,IF($S$29="VODNÍ",'3 PN infrastruktury'!O76+'3 PN infrastruktury'!O77,'3 PN infrastruktury'!O78+'3 PN infrastruktury'!O79))),0)</f>
        <v>-1108092.4671467775</v>
      </c>
      <c r="P19" s="1540">
        <f>IF(P15&lt;=('0 Úvod'!$G$18+'0 Úvod'!$J$18-1),IF($S$29="ŽELEZNIČNÍ",'3 PN infrastruktury'!P71+'3 PN infrastruktury'!P72+'3 PN infrastruktury'!P73,IF($S$29="SILNIČNÍ",'3 PN infrastruktury'!P20-'3 PN infrastruktury'!P47+'3 PN infrastruktury'!P75,IF($S$29="VODNÍ",'3 PN infrastruktury'!P76+'3 PN infrastruktury'!P77,'3 PN infrastruktury'!P78+'3 PN infrastruktury'!P79))),0)</f>
        <v>-1109797.6017090445</v>
      </c>
      <c r="Q19" s="1540">
        <f>IF(Q15&lt;=('0 Úvod'!$G$18+'0 Úvod'!$J$18-1),IF($S$29="ŽELEZNIČNÍ",'3 PN infrastruktury'!Q71+'3 PN infrastruktury'!Q72+'3 PN infrastruktury'!Q73,IF($S$29="SILNIČNÍ",'3 PN infrastruktury'!Q20-'3 PN infrastruktury'!Q47+'3 PN infrastruktury'!Q75,IF($S$29="VODNÍ",'3 PN infrastruktury'!Q76+'3 PN infrastruktury'!Q77,'3 PN infrastruktury'!Q78+'3 PN infrastruktury'!Q79))),0)</f>
        <v>116071757.94376928</v>
      </c>
      <c r="R19" s="1540">
        <f>IF(R15&lt;=('0 Úvod'!$G$18+'0 Úvod'!$J$18-1),IF($S$29="ŽELEZNIČNÍ",'3 PN infrastruktury'!R71+'3 PN infrastruktury'!R72+'3 PN infrastruktury'!R73,IF($S$29="SILNIČNÍ",'3 PN infrastruktury'!R20-'3 PN infrastruktury'!R47+'3 PN infrastruktury'!R75,IF($S$29="VODNÍ",'3 PN infrastruktury'!R76+'3 PN infrastruktury'!R77,'3 PN infrastruktury'!R78+'3 PN infrastruktury'!R79))),0)</f>
        <v>-1113233.4904803736</v>
      </c>
      <c r="S19" s="1541">
        <f>IF(S15&lt;=('0 Úvod'!$G$18+'0 Úvod'!$J$18-1),IF($S$29="ŽELEZNIČNÍ",'3 PN infrastruktury'!S71+'3 PN infrastruktury'!S72+'3 PN infrastruktury'!S73,IF($S$29="SILNIČNÍ",'3 PN infrastruktury'!S20-'3 PN infrastruktury'!S47+'3 PN infrastruktury'!S75,IF($S$29="VODNÍ",'3 PN infrastruktury'!S76+'3 PN infrastruktury'!S77,'3 PN infrastruktury'!S78+'3 PN infrastruktury'!S79))),0)</f>
        <v>137243501.46663338</v>
      </c>
      <c r="T19" s="1371"/>
      <c r="U19" s="1371"/>
      <c r="V19" s="1371"/>
      <c r="W19" s="1371"/>
      <c r="X19" s="1371"/>
      <c r="Y19" s="1371"/>
      <c r="Z19" s="1371"/>
      <c r="AA19" s="1371"/>
      <c r="AB19" s="1371"/>
      <c r="AC19" s="1371"/>
    </row>
    <row r="20" spans="2:29" ht="14.25" x14ac:dyDescent="0.3">
      <c r="B20" s="1398"/>
      <c r="C20" s="1116" t="str">
        <f t="shared" si="7"/>
        <v>Celkové přírůstkové provozní náklady vozidel</v>
      </c>
      <c r="D20" s="1416"/>
      <c r="E20" s="1542">
        <f>IF(E15&lt;=('0 Úvod'!$G$18+'0 Úvod'!$J$18-1),IF($S$30="ŽELEZNIČNÍ",'4 PN vozidel'!E66+'4 PN vozidel'!E67,IF($S$30="SILNIČNÍ",'4 PN vozidel'!E68+'4 PN vozidel'!E69,IF($S$30="VODNÍ",'4 PN vozidel'!E70+'4 PN vozidel'!E71,IF($S$30="MHD",'4 PN vozidel'!E73,IF($S$30="MHD (vč. MĚSTSKÝ BUS)",'4 PN vozidel'!E72+'4 PN vozidel'!E73,0))))),0)</f>
        <v>0</v>
      </c>
      <c r="F20" s="1542">
        <f>IF(F15&lt;=('0 Úvod'!$G$18+'0 Úvod'!$J$18-1),IF($S$30="ŽELEZNIČNÍ",'4 PN vozidel'!F66+'4 PN vozidel'!F67,IF($S$30="SILNIČNÍ",'4 PN vozidel'!F68+'4 PN vozidel'!F69,IF($S$30="VODNÍ",'4 PN vozidel'!F70+'4 PN vozidel'!F71,IF($S$30="MHD",'4 PN vozidel'!F73,IF($S$30="MHD (vč. MĚSTSKÝ BUS)",'4 PN vozidel'!F72+'4 PN vozidel'!F73,0))))),0)</f>
        <v>0</v>
      </c>
      <c r="G20" s="1542">
        <f>IF(G15&lt;=('0 Úvod'!$G$18+'0 Úvod'!$J$18-1),IF($S$30="ŽELEZNIČNÍ",'4 PN vozidel'!G66+'4 PN vozidel'!G67,IF($S$30="SILNIČNÍ",'4 PN vozidel'!G68+'4 PN vozidel'!G69,IF($S$30="VODNÍ",'4 PN vozidel'!G70+'4 PN vozidel'!G71,IF($S$30="MHD",'4 PN vozidel'!G73,IF($S$30="MHD (vč. MĚSTSKÝ BUS)",'4 PN vozidel'!G72+'4 PN vozidel'!G73,0))))),0)</f>
        <v>0</v>
      </c>
      <c r="H20" s="1542">
        <f>IF(H15&lt;=('0 Úvod'!$G$18+'0 Úvod'!$J$18-1),IF($S$30="ŽELEZNIČNÍ",'4 PN vozidel'!H66+'4 PN vozidel'!H67,IF($S$30="SILNIČNÍ",'4 PN vozidel'!H68+'4 PN vozidel'!H69,IF($S$30="VODNÍ",'4 PN vozidel'!H70+'4 PN vozidel'!H71,IF($S$30="MHD",'4 PN vozidel'!H73,IF($S$30="MHD (vč. MĚSTSKÝ BUS)",'4 PN vozidel'!H72+'4 PN vozidel'!H73,0))))),0)</f>
        <v>0</v>
      </c>
      <c r="I20" s="1542">
        <f>IF(I15&lt;=('0 Úvod'!$G$18+'0 Úvod'!$J$18-1),IF($S$30="ŽELEZNIČNÍ",'4 PN vozidel'!I66+'4 PN vozidel'!I67,IF($S$30="SILNIČNÍ",'4 PN vozidel'!I68+'4 PN vozidel'!I69,IF($S$30="VODNÍ",'4 PN vozidel'!I70+'4 PN vozidel'!I71,IF($S$30="MHD",'4 PN vozidel'!I73,IF($S$30="MHD (vč. MĚSTSKÝ BUS)",'4 PN vozidel'!I72+'4 PN vozidel'!I73,0))))),0)</f>
        <v>0</v>
      </c>
      <c r="J20" s="1542">
        <f>IF(J15&lt;=('0 Úvod'!$G$18+'0 Úvod'!$J$18-1),IF($S$30="ŽELEZNIČNÍ",'4 PN vozidel'!J66+'4 PN vozidel'!J67,IF($S$30="SILNIČNÍ",'4 PN vozidel'!J68+'4 PN vozidel'!J69,IF($S$30="VODNÍ",'4 PN vozidel'!J70+'4 PN vozidel'!J71,IF($S$30="MHD",'4 PN vozidel'!J73,IF($S$30="MHD (vč. MĚSTSKÝ BUS)",'4 PN vozidel'!J72+'4 PN vozidel'!J73,0))))),0)</f>
        <v>0</v>
      </c>
      <c r="K20" s="1542">
        <f>IF(K15&lt;=('0 Úvod'!$G$18+'0 Úvod'!$J$18-1),IF($S$30="ŽELEZNIČNÍ",'4 PN vozidel'!K66+'4 PN vozidel'!K67,IF($S$30="SILNIČNÍ",'4 PN vozidel'!K68+'4 PN vozidel'!K69,IF($S$30="VODNÍ",'4 PN vozidel'!K70+'4 PN vozidel'!K71,IF($S$30="MHD",'4 PN vozidel'!K73,IF($S$30="MHD (vč. MĚSTSKÝ BUS)",'4 PN vozidel'!K72+'4 PN vozidel'!K73,0))))),0)</f>
        <v>0</v>
      </c>
      <c r="L20" s="1542">
        <f>IF(L15&lt;=('0 Úvod'!$G$18+'0 Úvod'!$J$18-1),IF($S$30="ŽELEZNIČNÍ",'4 PN vozidel'!L66+'4 PN vozidel'!L67,IF($S$30="SILNIČNÍ",'4 PN vozidel'!L68+'4 PN vozidel'!L69,IF($S$30="VODNÍ",'4 PN vozidel'!L70+'4 PN vozidel'!L71,IF($S$30="MHD",'4 PN vozidel'!L73,IF($S$30="MHD (vč. MĚSTSKÝ BUS)",'4 PN vozidel'!L72+'4 PN vozidel'!L73,0))))),0)</f>
        <v>0</v>
      </c>
      <c r="M20" s="1542">
        <f>IF(M15&lt;=('0 Úvod'!$G$18+'0 Úvod'!$J$18-1),IF($S$30="ŽELEZNIČNÍ",'4 PN vozidel'!M66+'4 PN vozidel'!M67,IF($S$30="SILNIČNÍ",'4 PN vozidel'!M68+'4 PN vozidel'!M69,IF($S$30="VODNÍ",'4 PN vozidel'!M70+'4 PN vozidel'!M71,IF($S$30="MHD",'4 PN vozidel'!M73,IF($S$30="MHD (vč. MĚSTSKÝ BUS)",'4 PN vozidel'!M72+'4 PN vozidel'!M73,0))))),0)</f>
        <v>0</v>
      </c>
      <c r="N20" s="1542">
        <f>IF(N15&lt;=('0 Úvod'!$G$18+'0 Úvod'!$J$18-1),IF($S$30="ŽELEZNIČNÍ",'4 PN vozidel'!N66+'4 PN vozidel'!N67,IF($S$30="SILNIČNÍ",'4 PN vozidel'!N68+'4 PN vozidel'!N69,IF($S$30="VODNÍ",'4 PN vozidel'!N70+'4 PN vozidel'!N71,IF($S$30="MHD",'4 PN vozidel'!N73,IF($S$30="MHD (vč. MĚSTSKÝ BUS)",'4 PN vozidel'!N72+'4 PN vozidel'!N73,0))))),0)</f>
        <v>0</v>
      </c>
      <c r="O20" s="1542">
        <f>IF(O15&lt;=('0 Úvod'!$G$18+'0 Úvod'!$J$18-1),IF($S$30="ŽELEZNIČNÍ",'4 PN vozidel'!O66+'4 PN vozidel'!O67,IF($S$30="SILNIČNÍ",'4 PN vozidel'!O68+'4 PN vozidel'!O69,IF($S$30="VODNÍ",'4 PN vozidel'!O70+'4 PN vozidel'!O71,IF($S$30="MHD",'4 PN vozidel'!O73,IF($S$30="MHD (vč. MĚSTSKÝ BUS)",'4 PN vozidel'!O72+'4 PN vozidel'!O73,0))))),0)</f>
        <v>0</v>
      </c>
      <c r="P20" s="1542">
        <f>IF(P15&lt;=('0 Úvod'!$G$18+'0 Úvod'!$J$18-1),IF($S$30="ŽELEZNIČNÍ",'4 PN vozidel'!P66+'4 PN vozidel'!P67,IF($S$30="SILNIČNÍ",'4 PN vozidel'!P68+'4 PN vozidel'!P69,IF($S$30="VODNÍ",'4 PN vozidel'!P70+'4 PN vozidel'!P71,IF($S$30="MHD",'4 PN vozidel'!P73,IF($S$30="MHD (vč. MĚSTSKÝ BUS)",'4 PN vozidel'!P72+'4 PN vozidel'!P73,0))))),0)</f>
        <v>0</v>
      </c>
      <c r="Q20" s="1542">
        <f>IF(Q15&lt;=('0 Úvod'!$G$18+'0 Úvod'!$J$18-1),IF($S$30="ŽELEZNIČNÍ",'4 PN vozidel'!Q66+'4 PN vozidel'!Q67,IF($S$30="SILNIČNÍ",'4 PN vozidel'!Q68+'4 PN vozidel'!Q69,IF($S$30="VODNÍ",'4 PN vozidel'!Q70+'4 PN vozidel'!Q71,IF($S$30="MHD",'4 PN vozidel'!Q73,IF($S$30="MHD (vč. MĚSTSKÝ BUS)",'4 PN vozidel'!Q72+'4 PN vozidel'!Q73,0))))),0)</f>
        <v>0</v>
      </c>
      <c r="R20" s="1542">
        <f>IF(R15&lt;=('0 Úvod'!$G$18+'0 Úvod'!$J$18-1),IF($S$30="ŽELEZNIČNÍ",'4 PN vozidel'!R66+'4 PN vozidel'!R67,IF($S$30="SILNIČNÍ",'4 PN vozidel'!R68+'4 PN vozidel'!R69,IF($S$30="VODNÍ",'4 PN vozidel'!R70+'4 PN vozidel'!R71,IF($S$30="MHD",'4 PN vozidel'!R73,IF($S$30="MHD (vč. MĚSTSKÝ BUS)",'4 PN vozidel'!R72+'4 PN vozidel'!R73,0))))),0)</f>
        <v>0</v>
      </c>
      <c r="S20" s="1543">
        <f>IF(S15&lt;=('0 Úvod'!$G$18+'0 Úvod'!$J$18-1),IF($S$30="ŽELEZNIČNÍ",'4 PN vozidel'!S66+'4 PN vozidel'!S67,IF($S$30="SILNIČNÍ",'4 PN vozidel'!S68+'4 PN vozidel'!S69,IF($S$30="VODNÍ",'4 PN vozidel'!S70+'4 PN vozidel'!S71,IF($S$30="MHD",'4 PN vozidel'!S73,IF($S$30="MHD (vč. MĚSTSKÝ BUS)",'4 PN vozidel'!S72+'4 PN vozidel'!S73,0))))),0)</f>
        <v>0</v>
      </c>
      <c r="T20" s="1371"/>
      <c r="U20" s="1371"/>
      <c r="V20" s="1371"/>
      <c r="W20" s="1371"/>
      <c r="X20" s="1371"/>
      <c r="Y20" s="1371"/>
      <c r="Z20" s="1371"/>
      <c r="AA20" s="1371"/>
      <c r="AB20" s="1371"/>
      <c r="AC20" s="1371"/>
    </row>
    <row r="21" spans="2:29" ht="14.25" x14ac:dyDescent="0.3">
      <c r="B21" s="1398"/>
      <c r="C21" s="1417" t="str">
        <f t="shared" si="7"/>
        <v>Celkové invest. náklady bez rezervy</v>
      </c>
      <c r="D21" s="1416"/>
      <c r="E21" s="1542">
        <f>IF($S$29="SILNIČNÍ",'1 CIN'!G26+'1 CIN'!G29,'1 CIN'!G26)</f>
        <v>0</v>
      </c>
      <c r="F21" s="1542">
        <f>IF($S$29="SILNIČNÍ",'1 CIN'!H26+'1 CIN'!H29,'1 CIN'!H26)</f>
        <v>0</v>
      </c>
      <c r="G21" s="1542">
        <f>IF($S$29="SILNIČNÍ",'1 CIN'!I26+'1 CIN'!I29,'1 CIN'!I26)</f>
        <v>0</v>
      </c>
      <c r="H21" s="1542">
        <f>IF($S$29="SILNIČNÍ",'1 CIN'!J26+'1 CIN'!J29,'1 CIN'!J26)</f>
        <v>0</v>
      </c>
      <c r="I21" s="1542">
        <f>IF($S$29="SILNIČNÍ",'1 CIN'!K26+'1 CIN'!K29,'1 CIN'!K26)</f>
        <v>0</v>
      </c>
      <c r="J21" s="1542">
        <f>IF($S$29="SILNIČNÍ",'1 CIN'!L26+'1 CIN'!L29,'1 CIN'!L26)</f>
        <v>0</v>
      </c>
      <c r="K21" s="1542">
        <f>IF($S$29="SILNIČNÍ",'1 CIN'!M26+'1 CIN'!M29,'1 CIN'!M26)</f>
        <v>0</v>
      </c>
      <c r="L21" s="1542">
        <f>IF($S$29="SILNIČNÍ",'1 CIN'!N26+'1 CIN'!N29,'1 CIN'!N26)</f>
        <v>0</v>
      </c>
      <c r="M21" s="1542">
        <f>IF($S$29="SILNIČNÍ",'1 CIN'!O26+'1 CIN'!O29,'1 CIN'!O26)</f>
        <v>0</v>
      </c>
      <c r="N21" s="1542">
        <f>IF($S$29="SILNIČNÍ",'1 CIN'!P26+'1 CIN'!P29,'1 CIN'!P26)</f>
        <v>0</v>
      </c>
      <c r="O21" s="1542">
        <f>IF($S$29="SILNIČNÍ",'1 CIN'!Q26+'1 CIN'!Q29,'1 CIN'!Q26)</f>
        <v>0</v>
      </c>
      <c r="P21" s="1542">
        <f>IF($S$29="SILNIČNÍ",'1 CIN'!R26+'1 CIN'!R29,'1 CIN'!R26)</f>
        <v>0</v>
      </c>
      <c r="Q21" s="1542">
        <f>IF($S$29="SILNIČNÍ",'1 CIN'!S26+'1 CIN'!S29,'1 CIN'!S26)</f>
        <v>0</v>
      </c>
      <c r="R21" s="1542">
        <f>IF($S$29="SILNIČNÍ",'1 CIN'!T26+'1 CIN'!T29,'1 CIN'!T26)</f>
        <v>0</v>
      </c>
      <c r="S21" s="1543">
        <f>IF($S$29="SILNIČNÍ",'1 CIN'!U26+'1 CIN'!U29,'1 CIN'!U26)</f>
        <v>0</v>
      </c>
      <c r="T21" s="1371"/>
      <c r="U21" s="1371"/>
      <c r="V21" s="1371"/>
      <c r="W21" s="1371"/>
      <c r="X21" s="1371"/>
      <c r="Y21" s="1371"/>
      <c r="Z21" s="1371"/>
      <c r="AA21" s="1371"/>
      <c r="AB21" s="1371"/>
      <c r="AC21" s="1371"/>
    </row>
    <row r="22" spans="2:29" ht="14.25" x14ac:dyDescent="0.3">
      <c r="B22" s="1398"/>
      <c r="C22" s="1417" t="str">
        <f t="shared" si="7"/>
        <v>Zůstatková hodnota (záporná)</v>
      </c>
      <c r="D22" s="1416"/>
      <c r="E22" s="1542">
        <f>IF(E15='0 Úvod'!$G$18+'0 Úvod'!$J$18-1,-1*'2 ZH'!$D$47,0)</f>
        <v>0</v>
      </c>
      <c r="F22" s="1542">
        <f>IF(F15='0 Úvod'!$G$18+'0 Úvod'!$J$18-1,-1*'2 ZH'!$D$47,0)</f>
        <v>0</v>
      </c>
      <c r="G22" s="1542">
        <f>IF(G15='0 Úvod'!$G$18+'0 Úvod'!$J$18-1,-1*'2 ZH'!$D$47,0)</f>
        <v>0</v>
      </c>
      <c r="H22" s="1542">
        <f>IF(H15='0 Úvod'!$G$18+'0 Úvod'!$J$18-1,-1*'2 ZH'!$D$47,0)</f>
        <v>0</v>
      </c>
      <c r="I22" s="1542">
        <f>IF(I15='0 Úvod'!$G$18+'0 Úvod'!$J$18-1,-1*'2 ZH'!$D$47,0)</f>
        <v>0</v>
      </c>
      <c r="J22" s="1542">
        <f>IF(J15='0 Úvod'!$G$18+'0 Úvod'!$J$18-1,-1*'2 ZH'!$D$47,0)</f>
        <v>0</v>
      </c>
      <c r="K22" s="1542">
        <f>IF(K15='0 Úvod'!$G$18+'0 Úvod'!$J$18-1,-1*'2 ZH'!$D$47,0)</f>
        <v>0</v>
      </c>
      <c r="L22" s="1542">
        <f>IF(L15='0 Úvod'!$G$18+'0 Úvod'!$J$18-1,-1*'2 ZH'!$D$47,0)</f>
        <v>0</v>
      </c>
      <c r="M22" s="1542">
        <f>IF(M15='0 Úvod'!$G$18+'0 Úvod'!$J$18-1,-1*'2 ZH'!$D$47,0)</f>
        <v>0</v>
      </c>
      <c r="N22" s="1542">
        <f>IF(N15='0 Úvod'!$G$18+'0 Úvod'!$J$18-1,-1*'2 ZH'!$D$47,0)</f>
        <v>0</v>
      </c>
      <c r="O22" s="1542">
        <f>IF(O15='0 Úvod'!$G$18+'0 Úvod'!$J$18-1,-1*'2 ZH'!$D$47,0)</f>
        <v>0</v>
      </c>
      <c r="P22" s="1542">
        <f>IF(P15='0 Úvod'!$G$18+'0 Úvod'!$J$18-1,-1*'2 ZH'!$D$47,0)</f>
        <v>0</v>
      </c>
      <c r="Q22" s="1542">
        <f>IF(Q15='0 Úvod'!$G$18+'0 Úvod'!$J$18-1,-1*'2 ZH'!$D$47,0)</f>
        <v>0</v>
      </c>
      <c r="R22" s="1542">
        <f>IF(R15='0 Úvod'!$G$18+'0 Úvod'!$J$18-1,-1*'2 ZH'!$D$47,0)</f>
        <v>0</v>
      </c>
      <c r="S22" s="1543">
        <f>IF(S15='0 Úvod'!$G$18+'0 Úvod'!$J$18-1,-1*'2 ZH'!$D$47,0)</f>
        <v>-37866348.040484771</v>
      </c>
      <c r="T22" s="1371"/>
      <c r="U22" s="1371"/>
      <c r="V22" s="1371"/>
      <c r="W22" s="1371"/>
      <c r="X22" s="1371"/>
      <c r="Y22" s="1371"/>
      <c r="Z22" s="1371"/>
      <c r="AA22" s="1371"/>
      <c r="AB22" s="1371"/>
      <c r="AC22" s="1371"/>
    </row>
    <row r="23" spans="2:29" ht="15" thickBot="1" x14ac:dyDescent="0.35">
      <c r="B23" s="1404"/>
      <c r="C23" s="1412" t="str">
        <f t="shared" si="7"/>
        <v>Celkové náklady</v>
      </c>
      <c r="D23" s="1413"/>
      <c r="E23" s="1544">
        <f>SUM(E19:E22)</f>
        <v>-1091500.8055778695</v>
      </c>
      <c r="F23" s="1544">
        <f t="shared" ref="F23:S23" si="9">SUM(F19:F22)</f>
        <v>-1093122.9818322891</v>
      </c>
      <c r="G23" s="1544">
        <f t="shared" si="9"/>
        <v>-1094753.2689679824</v>
      </c>
      <c r="H23" s="1544">
        <f t="shared" si="9"/>
        <v>-1096391.7075393554</v>
      </c>
      <c r="I23" s="1544">
        <f t="shared" si="9"/>
        <v>-1098038.3383035837</v>
      </c>
      <c r="J23" s="1544">
        <f t="shared" si="9"/>
        <v>-1099693.2022216357</v>
      </c>
      <c r="K23" s="1544">
        <f t="shared" si="9"/>
        <v>-1101356.3404592751</v>
      </c>
      <c r="L23" s="1544">
        <f t="shared" si="9"/>
        <v>6232010.2313405592</v>
      </c>
      <c r="M23" s="1544">
        <f t="shared" si="9"/>
        <v>-1104707.6055865753</v>
      </c>
      <c r="N23" s="1544">
        <f t="shared" si="9"/>
        <v>-1106395.8158410406</v>
      </c>
      <c r="O23" s="1544">
        <f t="shared" si="9"/>
        <v>-1108092.4671467775</v>
      </c>
      <c r="P23" s="1544">
        <f t="shared" si="9"/>
        <v>-1109797.6017090445</v>
      </c>
      <c r="Q23" s="1544">
        <f t="shared" si="9"/>
        <v>116071757.94376928</v>
      </c>
      <c r="R23" s="1544">
        <f t="shared" si="9"/>
        <v>-1113233.4904803736</v>
      </c>
      <c r="S23" s="1545">
        <f t="shared" si="9"/>
        <v>99377153.426148608</v>
      </c>
      <c r="T23" s="1374"/>
      <c r="U23" s="1374"/>
      <c r="V23" s="1374"/>
      <c r="W23" s="1374"/>
      <c r="X23" s="1374"/>
      <c r="Y23" s="1374"/>
      <c r="Z23" s="1374"/>
      <c r="AA23" s="1374"/>
      <c r="AB23" s="1374"/>
      <c r="AC23" s="1374"/>
    </row>
    <row r="24" spans="2:29" ht="14.25" x14ac:dyDescent="0.3">
      <c r="B24" s="1372"/>
      <c r="C24" s="1380" t="str">
        <f t="shared" si="7"/>
        <v xml:space="preserve">Cash Flow </v>
      </c>
      <c r="D24" s="1414"/>
      <c r="E24" s="1500">
        <f t="shared" ref="E24:S24" si="10">E18-E23</f>
        <v>1091500.8055778695</v>
      </c>
      <c r="F24" s="1500">
        <f t="shared" si="10"/>
        <v>1093122.9818322891</v>
      </c>
      <c r="G24" s="1500">
        <f t="shared" si="10"/>
        <v>1094753.2689679824</v>
      </c>
      <c r="H24" s="1500">
        <f t="shared" si="10"/>
        <v>1096391.7075393554</v>
      </c>
      <c r="I24" s="1500">
        <f t="shared" si="10"/>
        <v>1098038.3383035837</v>
      </c>
      <c r="J24" s="1500">
        <f t="shared" si="10"/>
        <v>1099693.2022216357</v>
      </c>
      <c r="K24" s="1500">
        <f t="shared" si="10"/>
        <v>1101356.3404592751</v>
      </c>
      <c r="L24" s="1500">
        <f t="shared" si="10"/>
        <v>-6232010.2313405592</v>
      </c>
      <c r="M24" s="1500">
        <f t="shared" si="10"/>
        <v>1104707.6055865753</v>
      </c>
      <c r="N24" s="1500">
        <f t="shared" si="10"/>
        <v>1106395.8158410406</v>
      </c>
      <c r="O24" s="1500">
        <f t="shared" si="10"/>
        <v>1108092.4671467775</v>
      </c>
      <c r="P24" s="1500">
        <f t="shared" si="10"/>
        <v>1109797.6017090445</v>
      </c>
      <c r="Q24" s="1500">
        <f t="shared" si="10"/>
        <v>-116071757.94376928</v>
      </c>
      <c r="R24" s="1500">
        <f t="shared" si="10"/>
        <v>1113233.4904803736</v>
      </c>
      <c r="S24" s="1528">
        <f t="shared" si="10"/>
        <v>-99377153.426148608</v>
      </c>
      <c r="T24" s="1381"/>
      <c r="U24" s="1381"/>
      <c r="V24" s="1381"/>
      <c r="W24" s="1381"/>
      <c r="X24" s="1381"/>
      <c r="Y24" s="1381"/>
      <c r="Z24" s="1381"/>
      <c r="AA24" s="1381"/>
      <c r="AB24" s="1381"/>
      <c r="AC24" s="1374"/>
    </row>
    <row r="25" spans="2:29" ht="14.25" x14ac:dyDescent="0.3">
      <c r="B25" s="1398"/>
      <c r="C25" s="1418" t="str">
        <f t="shared" si="7"/>
        <v>Diskontní sazba</v>
      </c>
      <c r="D25" s="1422">
        <f>D12</f>
        <v>0.04</v>
      </c>
      <c r="E25" s="1549">
        <f>S12*1/(1+$D$12)</f>
        <v>0.55526450271327488</v>
      </c>
      <c r="F25" s="1549">
        <f>E25*1/(1+$D$12)</f>
        <v>0.53390817568584126</v>
      </c>
      <c r="G25" s="1549">
        <f t="shared" ref="G25:S25" si="11">F25*1/(1+$D$12)</f>
        <v>0.51337324585177047</v>
      </c>
      <c r="H25" s="1549">
        <f t="shared" si="11"/>
        <v>0.49362812101131776</v>
      </c>
      <c r="I25" s="1549">
        <f t="shared" si="11"/>
        <v>0.47464242404934398</v>
      </c>
      <c r="J25" s="1549">
        <f t="shared" si="11"/>
        <v>0.45638694620129228</v>
      </c>
      <c r="K25" s="1549">
        <f t="shared" si="11"/>
        <v>0.4388336021166272</v>
      </c>
      <c r="L25" s="1549">
        <f t="shared" si="11"/>
        <v>0.42195538665060306</v>
      </c>
      <c r="M25" s="1549">
        <f t="shared" si="11"/>
        <v>0.40572633331788754</v>
      </c>
      <c r="N25" s="1549">
        <f t="shared" si="11"/>
        <v>0.39012147434412264</v>
      </c>
      <c r="O25" s="1549">
        <f t="shared" si="11"/>
        <v>0.37511680225396404</v>
      </c>
      <c r="P25" s="1549">
        <f t="shared" si="11"/>
        <v>0.3606892329365039</v>
      </c>
      <c r="Q25" s="1549">
        <f t="shared" si="11"/>
        <v>0.34681657013125372</v>
      </c>
      <c r="R25" s="1549">
        <f t="shared" si="11"/>
        <v>0.33347747128005162</v>
      </c>
      <c r="S25" s="1550">
        <f t="shared" si="11"/>
        <v>0.32065141469235731</v>
      </c>
      <c r="T25" s="1382"/>
      <c r="U25" s="1382"/>
      <c r="V25" s="1382"/>
      <c r="W25" s="1382"/>
      <c r="X25" s="1382"/>
      <c r="Y25" s="1382"/>
      <c r="Z25" s="1382"/>
      <c r="AA25" s="1382"/>
      <c r="AB25" s="1382"/>
      <c r="AC25" s="1377"/>
    </row>
    <row r="26" spans="2:29" ht="15" thickBot="1" x14ac:dyDescent="0.35">
      <c r="B26" s="1419"/>
      <c r="C26" s="1420" t="str">
        <f t="shared" si="7"/>
        <v>Diskontované cash flow</v>
      </c>
      <c r="D26" s="1421"/>
      <c r="E26" s="1551">
        <f t="shared" ref="E26:S26" si="12">E24*E25</f>
        <v>606071.65202033462</v>
      </c>
      <c r="F26" s="1551">
        <f t="shared" si="12"/>
        <v>583627.29703034449</v>
      </c>
      <c r="G26" s="1551">
        <f t="shared" si="12"/>
        <v>562017.03909692937</v>
      </c>
      <c r="H26" s="1551">
        <f t="shared" si="12"/>
        <v>541209.77848504228</v>
      </c>
      <c r="I26" s="1551">
        <f t="shared" si="12"/>
        <v>521175.5785915266</v>
      </c>
      <c r="J26" s="1551">
        <f t="shared" si="12"/>
        <v>501885.62232025247</v>
      </c>
      <c r="K26" s="1551">
        <f t="shared" si="12"/>
        <v>483312.17009773012</v>
      </c>
      <c r="L26" s="1551">
        <f t="shared" si="12"/>
        <v>-2629630.28677582</v>
      </c>
      <c r="M26" s="1551">
        <f t="shared" si="12"/>
        <v>448208.96620302432</v>
      </c>
      <c r="N26" s="1551">
        <f t="shared" si="12"/>
        <v>431628.76688407513</v>
      </c>
      <c r="O26" s="1551">
        <f t="shared" si="12"/>
        <v>415664.10287780489</v>
      </c>
      <c r="P26" s="1551">
        <f t="shared" si="12"/>
        <v>400292.04567520693</v>
      </c>
      <c r="Q26" s="1551">
        <f t="shared" si="12"/>
        <v>-40255608.979163162</v>
      </c>
      <c r="R26" s="1551">
        <f t="shared" si="12"/>
        <v>371238.28934966039</v>
      </c>
      <c r="S26" s="1552">
        <f t="shared" si="12"/>
        <v>-31865424.834193993</v>
      </c>
      <c r="T26" s="1381"/>
      <c r="U26" s="1381"/>
      <c r="V26" s="1381"/>
      <c r="W26" s="1381"/>
      <c r="X26" s="1381"/>
      <c r="Y26" s="1381"/>
      <c r="Z26" s="1381"/>
      <c r="AA26" s="1381"/>
      <c r="AB26" s="1381"/>
      <c r="AC26" s="1374"/>
    </row>
    <row r="27" spans="2:29" ht="14.25" thickBot="1" x14ac:dyDescent="0.35">
      <c r="B27" s="1383"/>
      <c r="C27" s="1383"/>
      <c r="D27" s="1383"/>
      <c r="E27" s="1384">
        <f>IF(E15&gt;='0 Úvod'!$G$20,E17-E19-E20,0)</f>
        <v>1091500.8055778695</v>
      </c>
      <c r="F27" s="1384">
        <f>IF(F15&gt;='0 Úvod'!$G$20,F17-F19-F20,0)</f>
        <v>1093122.9818322891</v>
      </c>
      <c r="G27" s="1384">
        <f>IF(G15&gt;='0 Úvod'!$G$20,G17-G19-G20,0)</f>
        <v>1094753.2689679824</v>
      </c>
      <c r="H27" s="1384">
        <f>IF(H15&gt;='0 Úvod'!$G$20,H17-H19-H20,0)</f>
        <v>1096391.7075393554</v>
      </c>
      <c r="I27" s="1384">
        <f>IF(I15&gt;='0 Úvod'!$G$20,I17-I19-I20,0)</f>
        <v>1098038.3383035837</v>
      </c>
      <c r="J27" s="1384">
        <f>IF(J15&gt;='0 Úvod'!$G$20,J17-J19-J20,0)</f>
        <v>1099693.2022216357</v>
      </c>
      <c r="K27" s="1384">
        <f>IF(K15&gt;='0 Úvod'!$G$20,K17-K19-K20,0)</f>
        <v>1101356.3404592751</v>
      </c>
      <c r="L27" s="1384">
        <f>IF(L15&gt;='0 Úvod'!$G$20,L17-L19-L20,0)</f>
        <v>-6232010.2313405592</v>
      </c>
      <c r="M27" s="1384">
        <f>IF(M15&gt;='0 Úvod'!$G$20,M17-M19-M20,0)</f>
        <v>1104707.6055865753</v>
      </c>
      <c r="N27" s="1384">
        <f>IF(N15&gt;='0 Úvod'!$G$20,N17-N19-N20,0)</f>
        <v>1106395.8158410406</v>
      </c>
      <c r="O27" s="1384">
        <f>IF(O15&gt;='0 Úvod'!$G$20,O17-O19-O20,0)</f>
        <v>1108092.4671467775</v>
      </c>
      <c r="P27" s="1384">
        <f>IF(P15&gt;='0 Úvod'!$G$20,P17-P19-P20,0)</f>
        <v>1109797.6017090445</v>
      </c>
      <c r="Q27" s="1384">
        <f>IF(Q15&gt;='0 Úvod'!$G$20,Q17-Q19-Q20,0)</f>
        <v>-116071757.94376928</v>
      </c>
      <c r="R27" s="1384">
        <f>IF(R15&gt;='0 Úvod'!$G$20,R17-R19-R20,0)</f>
        <v>1113233.4904803736</v>
      </c>
      <c r="S27" s="1384">
        <f>IF(S15&gt;='0 Úvod'!$G$20,S17-S19-S20,0)</f>
        <v>-137243501.46663338</v>
      </c>
    </row>
    <row r="28" spans="2:29" s="950" customFormat="1" ht="14.25" thickBot="1" x14ac:dyDescent="0.3">
      <c r="B28" s="2590" t="str">
        <f>IF('0 Úvod'!$M$10="English",Slovnik!D445,Slovnik!C445)</f>
        <v>Finanční vnitřní výnosové procento investice FRR/C</v>
      </c>
      <c r="C28" s="2591"/>
      <c r="D28" s="2591"/>
      <c r="E28" s="1385" t="e">
        <f>ROUND(IRR((E11:S11,E24:S24),0.05),4)</f>
        <v>#NUM!</v>
      </c>
      <c r="F28" s="954"/>
      <c r="G28" s="954"/>
      <c r="H28" s="954"/>
      <c r="I28" s="954"/>
      <c r="J28" s="954"/>
      <c r="K28" s="954"/>
      <c r="L28" s="954"/>
      <c r="M28" s="954"/>
      <c r="N28" s="954"/>
      <c r="O28" s="954"/>
      <c r="P28" s="954"/>
      <c r="Q28" s="955"/>
    </row>
    <row r="29" spans="2:29" s="950" customFormat="1" ht="14.25" thickBot="1" x14ac:dyDescent="0.3">
      <c r="B29" s="2588" t="str">
        <f>IF('0 Úvod'!$M$10="English",Slovnik!D446,Slovnik!C446)</f>
        <v>Finanční čistá současná hodnota investice FNPV/C (CZK)</v>
      </c>
      <c r="C29" s="2589"/>
      <c r="D29" s="2589"/>
      <c r="E29" s="1386">
        <f>E11+NPV('0 Úvod'!J20,(F11:S11,E24:S24))</f>
        <v>-442633015.09250981</v>
      </c>
      <c r="F29" s="959"/>
      <c r="P29" s="959"/>
      <c r="Q29" s="960"/>
      <c r="R29" s="1553" t="str">
        <f>IF('0 Úvod'!$M$10="English",Slovnik!D448,Slovnik!C448)</f>
        <v>Finanční analýza se provádí pro infrastrukturu</v>
      </c>
      <c r="S29" s="1555" t="s">
        <v>212</v>
      </c>
    </row>
    <row r="30" spans="2:29" ht="15" thickBot="1" x14ac:dyDescent="0.35">
      <c r="B30" s="2588" t="str">
        <f>IF('0 Úvod'!$M$10="English",Slovnik!D447,Slovnik!C447)</f>
        <v>Finanční čistá současná hodnota investice FNPV/C (EUR)</v>
      </c>
      <c r="C30" s="2589"/>
      <c r="D30" s="2589"/>
      <c r="E30" s="1386">
        <f>E29/'0 Úvod'!N18</f>
        <v>-17249922.645849954</v>
      </c>
      <c r="J30" s="962"/>
      <c r="R30" s="1554" t="str">
        <f>IF('0 Úvod'!$M$10="English",Slovnik!D449,Slovnik!C449)</f>
        <v>Do konsolidované finanční analýzy jsou zahrnutyprovozní náklady vozidel</v>
      </c>
      <c r="S30" s="1555"/>
    </row>
    <row r="31" spans="2:29" x14ac:dyDescent="0.3">
      <c r="D31" s="963"/>
      <c r="S31" s="1884" t="str">
        <f>IF('0 Úvod'!$M$10="English","ŽELEZNIČNÍ=RAIL, SILNIČNÍ=ROAD, VODNÍ=WATERWAY, OSTATNÍ=OTHER, MHD=PUBLIC TRANSPORTATION"," ")</f>
        <v xml:space="preserve"> </v>
      </c>
    </row>
    <row r="32" spans="2:29" ht="14.25" thickBot="1" x14ac:dyDescent="0.35">
      <c r="D32" s="1387"/>
    </row>
    <row r="33" spans="2:20" ht="14.25" customHeight="1" x14ac:dyDescent="0.3">
      <c r="B33" s="2578" t="str">
        <f>IF('0 Úvod'!$M$10="English",Slovnik!$D$613,Slovnik!$C$613)</f>
        <v>Komentáře</v>
      </c>
      <c r="C33" s="2579"/>
      <c r="D33" s="2579"/>
      <c r="E33" s="2579"/>
      <c r="F33" s="2579"/>
      <c r="G33" s="2579"/>
      <c r="H33" s="2579"/>
      <c r="I33" s="2579"/>
      <c r="J33" s="2579"/>
      <c r="K33" s="2579"/>
      <c r="L33" s="2579"/>
      <c r="M33" s="2579"/>
      <c r="N33" s="2579"/>
      <c r="O33" s="2579"/>
      <c r="P33" s="2579"/>
      <c r="Q33" s="2579"/>
      <c r="R33" s="2579"/>
      <c r="S33" s="2579"/>
      <c r="T33" s="1857"/>
    </row>
    <row r="34" spans="2:20" ht="15" customHeight="1" thickBot="1" x14ac:dyDescent="0.35">
      <c r="B34" s="2580"/>
      <c r="C34" s="2581"/>
      <c r="D34" s="2581"/>
      <c r="E34" s="2581"/>
      <c r="F34" s="2581"/>
      <c r="G34" s="2581"/>
      <c r="H34" s="2581"/>
      <c r="I34" s="2581"/>
      <c r="J34" s="2581"/>
      <c r="K34" s="2581"/>
      <c r="L34" s="2581"/>
      <c r="M34" s="2581"/>
      <c r="N34" s="2581"/>
      <c r="O34" s="2581"/>
      <c r="P34" s="2581"/>
      <c r="Q34" s="2581"/>
      <c r="R34" s="2581"/>
      <c r="S34" s="2581"/>
      <c r="T34" s="1857"/>
    </row>
    <row r="35" spans="2:20" ht="14.25" x14ac:dyDescent="0.3">
      <c r="B35" s="2582" t="str">
        <f>IF('0 Úvod'!$M$10="English",Slovnik!$E$434,Slovnik!$E$433)</f>
        <v>Pro správnou funkci modelu je třeba nastavit v buňce S29 resp. S30 jaký typ infrastruktury má být zahrnut do výpočtu finanční analýzy a zda se jedná o konsolidovanou finanční analýzu zahrnující provozní náklady infrastruktury i vozidel (např. v případě projektů městské hromadné dopravy). Výchozí nastavení předpokládá analýzu pouze pro infrastrukturu.</v>
      </c>
      <c r="C35" s="2583"/>
      <c r="D35" s="2583"/>
      <c r="E35" s="2583"/>
      <c r="F35" s="2583"/>
      <c r="G35" s="2583"/>
      <c r="H35" s="2583"/>
      <c r="I35" s="2583"/>
      <c r="J35" s="2583"/>
      <c r="K35" s="2583"/>
      <c r="L35" s="2583"/>
      <c r="M35" s="2583"/>
      <c r="N35" s="2583"/>
      <c r="O35" s="2583"/>
      <c r="P35" s="2583"/>
      <c r="Q35" s="2583"/>
      <c r="R35" s="2583"/>
      <c r="S35" s="2584"/>
      <c r="T35" s="1858"/>
    </row>
    <row r="36" spans="2:20" ht="15" thickBot="1" x14ac:dyDescent="0.35">
      <c r="B36" s="2585"/>
      <c r="C36" s="2586"/>
      <c r="D36" s="2586"/>
      <c r="E36" s="2586"/>
      <c r="F36" s="2586"/>
      <c r="G36" s="2586"/>
      <c r="H36" s="2586"/>
      <c r="I36" s="2586"/>
      <c r="J36" s="2586"/>
      <c r="K36" s="2586"/>
      <c r="L36" s="2586"/>
      <c r="M36" s="2586"/>
      <c r="N36" s="2586"/>
      <c r="O36" s="2586"/>
      <c r="P36" s="2586"/>
      <c r="Q36" s="2586"/>
      <c r="R36" s="2586"/>
      <c r="S36" s="2587"/>
      <c r="T36" s="1858"/>
    </row>
  </sheetData>
  <sheetProtection algorithmName="SHA-512" hashValue="0/HgPIRBS/WrxA+4RtOvf+vUTmJ1nNJVRyti5rjX4CDoy5uhY6mf5a3klk0MGq11I62vZOcaBvCvQHUdoQD4SA==" saltValue="bkh0TuqvTBoV/Ym+it2Jtg==" spinCount="100000" sheet="1" formatCells="0" formatColumns="0" formatRows="0" insertColumns="0" insertRows="0" insertHyperlinks="0" deleteColumns="0" deleteRows="0" sort="0" autoFilter="0" pivotTables="0"/>
  <mergeCells count="35">
    <mergeCell ref="B33:S34"/>
    <mergeCell ref="B35:S36"/>
    <mergeCell ref="S2:S3"/>
    <mergeCell ref="I2:I3"/>
    <mergeCell ref="J2:J3"/>
    <mergeCell ref="K2:K3"/>
    <mergeCell ref="L2:L3"/>
    <mergeCell ref="N2:N3"/>
    <mergeCell ref="Q2:Q3"/>
    <mergeCell ref="R2:R3"/>
    <mergeCell ref="O2:O3"/>
    <mergeCell ref="P2:P3"/>
    <mergeCell ref="M2:M3"/>
    <mergeCell ref="B30:D30"/>
    <mergeCell ref="B28:D28"/>
    <mergeCell ref="B29:D29"/>
    <mergeCell ref="S15:S16"/>
    <mergeCell ref="J15:J16"/>
    <mergeCell ref="K15:K16"/>
    <mergeCell ref="Q15:Q16"/>
    <mergeCell ref="R15:R16"/>
    <mergeCell ref="N15:N16"/>
    <mergeCell ref="O15:O16"/>
    <mergeCell ref="P15:P16"/>
    <mergeCell ref="L15:L16"/>
    <mergeCell ref="M15:M16"/>
    <mergeCell ref="I15:I16"/>
    <mergeCell ref="E2:E3"/>
    <mergeCell ref="F2:F3"/>
    <mergeCell ref="G2:G3"/>
    <mergeCell ref="H2:H3"/>
    <mergeCell ref="E15:E16"/>
    <mergeCell ref="F15:F16"/>
    <mergeCell ref="G15:G16"/>
    <mergeCell ref="H15:H16"/>
  </mergeCells>
  <phoneticPr fontId="3" type="noConversion"/>
  <dataValidations count="2">
    <dataValidation type="list" showInputMessage="1" showErrorMessage="1" prompt="V tomto poli je nutné vybrat typ infrastruktury!_x000a__x000a_(In this field you must select the type of infrastructure!)" sqref="S29" xr:uid="{00000000-0002-0000-0A00-000000000000}">
      <formula1>PNINFRA</formula1>
    </dataValidation>
    <dataValidation type="list" allowBlank="1" showInputMessage="1" showErrorMessage="1" prompt="V případě konsolidované finanční analýzy (se zahrnutím PN vozidel), je třeba zvolit správnou variantu. Výchozí hodnota je bez zahrnutí PN vozidel._x000a_(In the case of consolidated financial analysis (including OC OF vehicles) right option should be selected.)" sqref="S30" xr:uid="{00000000-0002-0000-0A00-000001000000}">
      <formula1>PNVOZIDLA</formula1>
    </dataValidation>
  </dataValidations>
  <pageMargins left="0.39370078740157483" right="0.15748031496062992" top="0.98425196850393704" bottom="0.78740157480314965" header="0.39370078740157483" footer="0.39370078740157483"/>
  <pageSetup paperSize="9" scale="59" fitToHeight="0" orientation="landscape" r:id="rId1"/>
  <headerFooter alignWithMargins="0">
    <oddFooter>&amp;L&amp;A&amp;C&amp;D</oddFooter>
  </headerFooter>
  <ignoredErrors>
    <ignoredError sqref="D5" formula="1"/>
  </ignoredErrors>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Q1464"/>
  <sheetViews>
    <sheetView defaultGridColor="0" colorId="23" zoomScale="80" zoomScaleNormal="80" workbookViewId="0"/>
  </sheetViews>
  <sheetFormatPr defaultRowHeight="13.5" x14ac:dyDescent="0.25"/>
  <cols>
    <col min="1" max="1" width="2.7109375" style="158" customWidth="1"/>
    <col min="2" max="2" width="11.28515625" style="158" customWidth="1"/>
    <col min="3" max="3" width="47.28515625" style="158" bestFit="1" customWidth="1"/>
    <col min="4" max="4" width="27.140625" style="158" customWidth="1"/>
    <col min="5" max="5" width="15" style="158" bestFit="1" customWidth="1"/>
    <col min="6" max="6" width="15.28515625" style="158" bestFit="1" customWidth="1"/>
    <col min="7" max="7" width="13.140625" style="158" bestFit="1" customWidth="1"/>
    <col min="8" max="8" width="20.7109375" style="158" bestFit="1" customWidth="1"/>
    <col min="9" max="9" width="10.5703125" style="158" bestFit="1" customWidth="1"/>
    <col min="10" max="10" width="12.7109375" style="158" bestFit="1" customWidth="1"/>
    <col min="11" max="11" width="10.85546875" style="158" bestFit="1" customWidth="1"/>
    <col min="12" max="12" width="9.140625" style="158"/>
    <col min="13" max="43" width="9.140625" style="97"/>
    <col min="44" max="16384" width="9.140625" style="158"/>
  </cols>
  <sheetData>
    <row r="1" spans="2:12" ht="13.5" customHeight="1" thickBot="1" x14ac:dyDescent="0.3"/>
    <row r="2" spans="2:12" ht="13.5" customHeight="1" thickBot="1" x14ac:dyDescent="0.3">
      <c r="B2" s="2605" t="s">
        <v>219</v>
      </c>
      <c r="C2" s="2592" t="str">
        <f>IF('0 Úvod'!$M$10="English",Slovnik!$D$451,Slovnik!$C$451)</f>
        <v>Konverzní faktor - INVESTIČNÍ NÁKLADY</v>
      </c>
      <c r="D2" s="2629" t="str">
        <f>IF('0 Úvod'!$M$10="English",Slovnik!$D$452,Slovnik!$C$452)</f>
        <v>Náklady (CZK)</v>
      </c>
      <c r="E2" s="2632" t="str">
        <f>IF('0 Úvod'!$M$10="English",Slovnik!$D$453,Slovnik!$C$453)</f>
        <v>Zastoupení složky pro konverzní faktor [%]</v>
      </c>
      <c r="F2" s="2633"/>
      <c r="G2" s="2633"/>
      <c r="H2" s="2633"/>
      <c r="I2" s="2633"/>
      <c r="J2" s="2633"/>
      <c r="K2" s="2634"/>
      <c r="L2" s="2635" t="str">
        <f>IF('0 Úvod'!$M$10="English",Slovnik!$D$458,Slovnik!$C$458)</f>
        <v>KF (bez ziskové marže)</v>
      </c>
    </row>
    <row r="3" spans="2:12" ht="13.5" customHeight="1" x14ac:dyDescent="0.25">
      <c r="B3" s="2606"/>
      <c r="C3" s="2595"/>
      <c r="D3" s="2630"/>
      <c r="E3" s="2638" t="str">
        <f>IF('0 Úvod'!$M$10="English",Slovnik!$D$454,Slovnik!$C$454)</f>
        <v>PRÁCE</v>
      </c>
      <c r="F3" s="2639"/>
      <c r="G3" s="2639" t="str">
        <f>IF('0 Úvod'!$M$10="English",Slovnik!$D$455,Slovnik!$C$455)</f>
        <v>MATERIÁL</v>
      </c>
      <c r="H3" s="2639"/>
      <c r="I3" s="2639"/>
      <c r="J3" s="1735" t="str">
        <f>IF('0 Úvod'!$M$10="English",Slovnik!$D$456,Slovnik!$C$456)</f>
        <v>ENERGIE + PH</v>
      </c>
      <c r="K3" s="1428" t="str">
        <f>IF('0 Úvod'!$M$10="English",Slovnik!$D$457,Slovnik!$C$457)</f>
        <v>POZEMKY</v>
      </c>
      <c r="L3" s="2636"/>
    </row>
    <row r="4" spans="2:12" ht="13.5" customHeight="1" thickBot="1" x14ac:dyDescent="0.3">
      <c r="B4" s="2607"/>
      <c r="C4" s="2598"/>
      <c r="D4" s="2631"/>
      <c r="E4" s="1429" t="str">
        <f>IF('0 Úvod'!$M$10="English",Slovnik!$D$459,Slovnik!$C$459)</f>
        <v>kvalifikovaná</v>
      </c>
      <c r="F4" s="1430" t="str">
        <f>IF('0 Úvod'!$M$10="English",Slovnik!$D$460,Slovnik!$C$460)</f>
        <v>nekvalifikovaná</v>
      </c>
      <c r="G4" s="1430" t="str">
        <f>IF('0 Úvod'!$M$10="English",Slovnik!$D$461,Slovnik!$C$461)</f>
        <v>IT (SW, HW)</v>
      </c>
      <c r="H4" s="1430" t="str">
        <f>IF('0 Úvod'!$M$10="English",Slovnik!$D$462,Slovnik!$C$462)</f>
        <v>sypké hmoty, beton…</v>
      </c>
      <c r="I4" s="1726" t="str">
        <f>IF('0 Úvod'!$M$10="English",Slovnik!$D$463,Slovnik!$C$463)</f>
        <v>konstrukce</v>
      </c>
      <c r="J4" s="1430"/>
      <c r="K4" s="1431"/>
      <c r="L4" s="2637"/>
    </row>
    <row r="5" spans="2:12" ht="13.5" customHeight="1" thickBot="1" x14ac:dyDescent="0.3">
      <c r="B5" s="2612" t="str">
        <f>IF('0 Úvod'!$M$10="English",Slovnik!$D$464,Slovnik!$C$464)</f>
        <v>ŽELEZNIČNÍ INFRASTRUKTURA</v>
      </c>
      <c r="C5" s="2613"/>
      <c r="D5" s="2613"/>
      <c r="E5" s="2613"/>
      <c r="F5" s="2613"/>
      <c r="G5" s="2613"/>
      <c r="H5" s="2613"/>
      <c r="I5" s="2613"/>
      <c r="J5" s="2613"/>
      <c r="K5" s="2613"/>
      <c r="L5" s="2614"/>
    </row>
    <row r="6" spans="2:12" ht="13.5" customHeight="1" x14ac:dyDescent="0.3">
      <c r="B6" s="2647" t="str">
        <f>IF('0 Úvod'!$M$10="English",Slovnik!$D$465,Slovnik!$C$465)</f>
        <v>ZÁKLADNÍ ROZPOČTOVÉ NÁKLADY</v>
      </c>
      <c r="C6" s="1432" t="str">
        <f>IF('0 Úvod'!$M$10="English",Slovnik!D467,Slovnik!C467)</f>
        <v>Zabezpečovací zařízení</v>
      </c>
      <c r="D6" s="1744"/>
      <c r="E6" s="1741">
        <v>15</v>
      </c>
      <c r="F6" s="1435">
        <v>10</v>
      </c>
      <c r="G6" s="1435">
        <v>60</v>
      </c>
      <c r="H6" s="1435"/>
      <c r="I6" s="1435">
        <v>10</v>
      </c>
      <c r="J6" s="1435">
        <v>5</v>
      </c>
      <c r="K6" s="1436"/>
      <c r="L6" s="1447">
        <f t="shared" ref="L6:L22" si="0">E6/100*$E$115+F6/100*$E$116+G6/100*$E$117+H6/100*$E$118+I6/100*$E$119+J6/100*$E$120+K6/100*$E$121</f>
        <v>0.87860000000000005</v>
      </c>
    </row>
    <row r="7" spans="2:12" ht="13.5" customHeight="1" x14ac:dyDescent="0.3">
      <c r="B7" s="2647"/>
      <c r="C7" s="1432" t="str">
        <f>IF('0 Úvod'!$M$10="English",Slovnik!D468,Slovnik!C468)</f>
        <v>Sdělovací zařízení</v>
      </c>
      <c r="D7" s="1745"/>
      <c r="E7" s="1741">
        <v>15</v>
      </c>
      <c r="F7" s="1435">
        <v>10</v>
      </c>
      <c r="G7" s="1435">
        <v>60</v>
      </c>
      <c r="H7" s="1435"/>
      <c r="I7" s="1435">
        <v>10</v>
      </c>
      <c r="J7" s="1435">
        <v>5</v>
      </c>
      <c r="K7" s="1436"/>
      <c r="L7" s="1448">
        <f t="shared" si="0"/>
        <v>0.87860000000000005</v>
      </c>
    </row>
    <row r="8" spans="2:12" ht="13.5" customHeight="1" x14ac:dyDescent="0.3">
      <c r="B8" s="2647"/>
      <c r="C8" s="1432" t="str">
        <f>IF('0 Úvod'!$M$10="English",Slovnik!D469,Slovnik!C469)</f>
        <v>Silnoproudé rozvody a zařízení</v>
      </c>
      <c r="D8" s="1745"/>
      <c r="E8" s="1741">
        <v>15</v>
      </c>
      <c r="F8" s="1435">
        <v>10</v>
      </c>
      <c r="G8" s="1435">
        <v>30</v>
      </c>
      <c r="H8" s="1435"/>
      <c r="I8" s="1435">
        <v>40</v>
      </c>
      <c r="J8" s="1435">
        <v>5</v>
      </c>
      <c r="K8" s="1436"/>
      <c r="L8" s="1448">
        <f t="shared" si="0"/>
        <v>0.87890000000000013</v>
      </c>
    </row>
    <row r="9" spans="2:12" ht="13.5" customHeight="1" x14ac:dyDescent="0.3">
      <c r="B9" s="2647"/>
      <c r="C9" s="1432" t="str">
        <f>IF('0 Úvod'!$M$10="English",Slovnik!D470,Slovnik!C470)</f>
        <v>Železniční svršek</v>
      </c>
      <c r="D9" s="1745"/>
      <c r="E9" s="1741">
        <v>10</v>
      </c>
      <c r="F9" s="1435">
        <v>15</v>
      </c>
      <c r="G9" s="1435"/>
      <c r="H9" s="1435">
        <v>45</v>
      </c>
      <c r="I9" s="1435">
        <v>25</v>
      </c>
      <c r="J9" s="1435">
        <v>5</v>
      </c>
      <c r="K9" s="1436"/>
      <c r="L9" s="1448">
        <f t="shared" si="0"/>
        <v>0.87675000000000003</v>
      </c>
    </row>
    <row r="10" spans="2:12" ht="13.5" customHeight="1" x14ac:dyDescent="0.3">
      <c r="B10" s="2647"/>
      <c r="C10" s="1432" t="str">
        <f>IF('0 Úvod'!$M$10="English",Slovnik!D471,Slovnik!C471)</f>
        <v>Železniční spodek</v>
      </c>
      <c r="D10" s="1745"/>
      <c r="E10" s="1741">
        <v>10</v>
      </c>
      <c r="F10" s="1435">
        <v>20</v>
      </c>
      <c r="G10" s="1435"/>
      <c r="H10" s="1435">
        <v>50</v>
      </c>
      <c r="I10" s="1435">
        <v>15</v>
      </c>
      <c r="J10" s="1435">
        <v>5</v>
      </c>
      <c r="K10" s="1436"/>
      <c r="L10" s="1448">
        <f t="shared" si="0"/>
        <v>0.85680000000000001</v>
      </c>
    </row>
    <row r="11" spans="2:12" ht="13.5" customHeight="1" x14ac:dyDescent="0.3">
      <c r="B11" s="2647"/>
      <c r="C11" s="1432" t="str">
        <f>IF('0 Úvod'!$M$10="English",Slovnik!D472,Slovnik!C472)</f>
        <v>Pevná jízdní dráha</v>
      </c>
      <c r="D11" s="1745"/>
      <c r="E11" s="1741">
        <v>15</v>
      </c>
      <c r="F11" s="1435">
        <v>10</v>
      </c>
      <c r="G11" s="1435">
        <v>5</v>
      </c>
      <c r="H11" s="1435">
        <v>50</v>
      </c>
      <c r="I11" s="1435">
        <v>15</v>
      </c>
      <c r="J11" s="1435">
        <v>5</v>
      </c>
      <c r="K11" s="1436"/>
      <c r="L11" s="1448">
        <f t="shared" si="0"/>
        <v>0.87814999999999999</v>
      </c>
    </row>
    <row r="12" spans="2:12" ht="13.5" customHeight="1" x14ac:dyDescent="0.3">
      <c r="B12" s="2647"/>
      <c r="C12" s="1432" t="str">
        <f>IF('0 Úvod'!$M$10="English",Slovnik!D473,Slovnik!C473)</f>
        <v>Mosty, propustky, zdi</v>
      </c>
      <c r="D12" s="1745"/>
      <c r="E12" s="1741">
        <v>10</v>
      </c>
      <c r="F12" s="1435">
        <v>15</v>
      </c>
      <c r="G12" s="1435"/>
      <c r="H12" s="1435">
        <v>45</v>
      </c>
      <c r="I12" s="1435">
        <v>25</v>
      </c>
      <c r="J12" s="1435">
        <v>5</v>
      </c>
      <c r="K12" s="1436"/>
      <c r="L12" s="1448">
        <f t="shared" si="0"/>
        <v>0.87675000000000003</v>
      </c>
    </row>
    <row r="13" spans="2:12" ht="13.5" customHeight="1" x14ac:dyDescent="0.3">
      <c r="B13" s="2647"/>
      <c r="C13" s="1432" t="str">
        <f>IF('0 Úvod'!$M$10="English",Slovnik!D474,Slovnik!C474)</f>
        <v>Tunely</v>
      </c>
      <c r="D13" s="1745"/>
      <c r="E13" s="1741">
        <v>15</v>
      </c>
      <c r="F13" s="1435">
        <v>10</v>
      </c>
      <c r="G13" s="1435"/>
      <c r="H13" s="1435">
        <v>45</v>
      </c>
      <c r="I13" s="1435">
        <v>25</v>
      </c>
      <c r="J13" s="1435">
        <v>5</v>
      </c>
      <c r="K13" s="1436"/>
      <c r="L13" s="1448">
        <f t="shared" si="0"/>
        <v>0.87829999999999997</v>
      </c>
    </row>
    <row r="14" spans="2:12" ht="13.5" customHeight="1" x14ac:dyDescent="0.3">
      <c r="B14" s="2647"/>
      <c r="C14" s="1432" t="str">
        <f>IF('0 Úvod'!$M$10="English",Slovnik!D475,Slovnik!C475)</f>
        <v>Komunikace a zpevněné plochy</v>
      </c>
      <c r="D14" s="1745"/>
      <c r="E14" s="1741">
        <v>10</v>
      </c>
      <c r="F14" s="1435">
        <v>15</v>
      </c>
      <c r="G14" s="1435"/>
      <c r="H14" s="1435">
        <v>40</v>
      </c>
      <c r="I14" s="1435">
        <v>30</v>
      </c>
      <c r="J14" s="1435">
        <v>5</v>
      </c>
      <c r="K14" s="1436"/>
      <c r="L14" s="1448">
        <f t="shared" si="0"/>
        <v>0.87685000000000002</v>
      </c>
    </row>
    <row r="15" spans="2:12" ht="13.5" customHeight="1" x14ac:dyDescent="0.3">
      <c r="B15" s="2647"/>
      <c r="C15" s="1432" t="str">
        <f>IF('0 Úvod'!$M$10="English",Slovnik!D476,Slovnik!C476)</f>
        <v>Trakce</v>
      </c>
      <c r="D15" s="1745"/>
      <c r="E15" s="1741">
        <v>10</v>
      </c>
      <c r="F15" s="1435">
        <v>15</v>
      </c>
      <c r="G15" s="1435">
        <v>5</v>
      </c>
      <c r="H15" s="1435">
        <v>10</v>
      </c>
      <c r="I15" s="1435">
        <v>55.000000000000007</v>
      </c>
      <c r="J15" s="1435">
        <v>5</v>
      </c>
      <c r="K15" s="1436"/>
      <c r="L15" s="1448">
        <f t="shared" si="0"/>
        <v>0.87740000000000007</v>
      </c>
    </row>
    <row r="16" spans="2:12" ht="13.5" customHeight="1" x14ac:dyDescent="0.3">
      <c r="B16" s="2647"/>
      <c r="C16" s="1432" t="str">
        <f>IF('0 Úvod'!$M$10="English",Slovnik!D477,Slovnik!C477)</f>
        <v>Inženýrské sítě (trubní vedení, kabelovody)</v>
      </c>
      <c r="D16" s="1745"/>
      <c r="E16" s="1741">
        <v>5</v>
      </c>
      <c r="F16" s="1435">
        <v>20</v>
      </c>
      <c r="G16" s="1435">
        <v>5</v>
      </c>
      <c r="H16" s="1435">
        <v>55.000000000000007</v>
      </c>
      <c r="I16" s="1435">
        <v>10</v>
      </c>
      <c r="J16" s="1435">
        <v>5</v>
      </c>
      <c r="K16" s="1436"/>
      <c r="L16" s="1448">
        <f t="shared" si="0"/>
        <v>0.87495000000000001</v>
      </c>
    </row>
    <row r="17" spans="2:12" ht="13.5" customHeight="1" x14ac:dyDescent="0.3">
      <c r="B17" s="2647"/>
      <c r="C17" s="1432" t="str">
        <f>IF('0 Úvod'!$M$10="English",Slovnik!D478,Slovnik!C478)</f>
        <v>Pozemní stavby, nástupiště a přístřešky</v>
      </c>
      <c r="D17" s="1745"/>
      <c r="E17" s="1741">
        <v>10</v>
      </c>
      <c r="F17" s="1435">
        <v>15</v>
      </c>
      <c r="G17" s="1435">
        <v>5</v>
      </c>
      <c r="H17" s="1435">
        <v>30</v>
      </c>
      <c r="I17" s="1435">
        <v>35</v>
      </c>
      <c r="J17" s="1435">
        <v>5</v>
      </c>
      <c r="K17" s="1436"/>
      <c r="L17" s="1448">
        <f t="shared" si="0"/>
        <v>0.877</v>
      </c>
    </row>
    <row r="18" spans="2:12" ht="13.5" customHeight="1" x14ac:dyDescent="0.3">
      <c r="B18" s="2647"/>
      <c r="C18" s="1432" t="str">
        <f>IF('0 Úvod'!$M$10="English",Slovnik!D479,Slovnik!C479)</f>
        <v>Objekty ochrany životního prostředí</v>
      </c>
      <c r="D18" s="1745"/>
      <c r="E18" s="1742">
        <v>10</v>
      </c>
      <c r="F18" s="1437">
        <v>15</v>
      </c>
      <c r="G18" s="1437"/>
      <c r="H18" s="1437">
        <v>35</v>
      </c>
      <c r="I18" s="1437">
        <v>35</v>
      </c>
      <c r="J18" s="1437">
        <v>5</v>
      </c>
      <c r="K18" s="1438"/>
      <c r="L18" s="1448">
        <f t="shared" si="0"/>
        <v>0.87695000000000001</v>
      </c>
    </row>
    <row r="19" spans="2:12" ht="13.5" customHeight="1" x14ac:dyDescent="0.3">
      <c r="B19" s="2627" t="str">
        <f>IF('0 Úvod'!$M$10="English",Slovnik!$D$466,Slovnik!$C$466)</f>
        <v>VEDLEJŠÍ ROZP. NÁKLADY</v>
      </c>
      <c r="C19" s="1433" t="str">
        <f>IF('0 Úvod'!$M$10="English",Slovnik!D480,Slovnik!C480)</f>
        <v>Přípravná a projektová dokumentace, průzkumy</v>
      </c>
      <c r="D19" s="1746"/>
      <c r="E19" s="1741">
        <v>85</v>
      </c>
      <c r="F19" s="1435">
        <v>5</v>
      </c>
      <c r="G19" s="1435">
        <v>5</v>
      </c>
      <c r="H19" s="1435"/>
      <c r="I19" s="1435"/>
      <c r="J19" s="1435">
        <v>5</v>
      </c>
      <c r="K19" s="1436"/>
      <c r="L19" s="1749">
        <f t="shared" si="0"/>
        <v>0.64280000000000004</v>
      </c>
    </row>
    <row r="20" spans="2:12" ht="13.5" customHeight="1" x14ac:dyDescent="0.3">
      <c r="B20" s="2625"/>
      <c r="C20" s="1432" t="str">
        <f>IF('0 Úvod'!$M$10="English",Slovnik!D481,Slovnik!C481)</f>
        <v>Výkupy pozemků a nemovitostí</v>
      </c>
      <c r="D20" s="1745"/>
      <c r="E20" s="1741">
        <v>5</v>
      </c>
      <c r="F20" s="1435"/>
      <c r="G20" s="1435"/>
      <c r="H20" s="1435"/>
      <c r="I20" s="1435"/>
      <c r="J20" s="1435"/>
      <c r="K20" s="1436">
        <v>95</v>
      </c>
      <c r="L20" s="1448">
        <f t="shared" si="0"/>
        <v>0.18486684782608695</v>
      </c>
    </row>
    <row r="21" spans="2:12" ht="13.5" customHeight="1" x14ac:dyDescent="0.3">
      <c r="B21" s="2625"/>
      <c r="C21" s="1432" t="str">
        <f>IF('0 Úvod'!$M$10="English",Slovnik!D482,Slovnik!C482)</f>
        <v>Technická asistence, propagace</v>
      </c>
      <c r="D21" s="1745"/>
      <c r="E21" s="1741">
        <v>85</v>
      </c>
      <c r="F21" s="1435">
        <v>5</v>
      </c>
      <c r="G21" s="1435">
        <v>5</v>
      </c>
      <c r="H21" s="1435"/>
      <c r="I21" s="1435"/>
      <c r="J21" s="1435">
        <v>5</v>
      </c>
      <c r="K21" s="1436"/>
      <c r="L21" s="1448">
        <f t="shared" si="0"/>
        <v>0.64280000000000004</v>
      </c>
    </row>
    <row r="22" spans="2:12" ht="13.5" customHeight="1" thickBot="1" x14ac:dyDescent="0.35">
      <c r="B22" s="2646"/>
      <c r="C22" s="1434" t="str">
        <f>IF('0 Úvod'!$M$10="English",Slovnik!D483,Slovnik!C483)</f>
        <v>Technický dozor</v>
      </c>
      <c r="D22" s="1747"/>
      <c r="E22" s="1743">
        <v>85</v>
      </c>
      <c r="F22" s="1439">
        <v>5</v>
      </c>
      <c r="G22" s="1439">
        <v>5</v>
      </c>
      <c r="H22" s="1439"/>
      <c r="I22" s="1439"/>
      <c r="J22" s="1439">
        <v>5</v>
      </c>
      <c r="K22" s="1440"/>
      <c r="L22" s="1449">
        <f t="shared" si="0"/>
        <v>0.64280000000000004</v>
      </c>
    </row>
    <row r="23" spans="2:12" ht="13.5" customHeight="1" thickBot="1" x14ac:dyDescent="0.3">
      <c r="B23" s="2612" t="str">
        <f>IF('0 Úvod'!$M$10="English",Slovnik!$D$484,Slovnik!$C$484)</f>
        <v>SILNIČNÍ INFRASTRUKTURA</v>
      </c>
      <c r="C23" s="2613"/>
      <c r="D23" s="2613"/>
      <c r="E23" s="2613"/>
      <c r="F23" s="2613"/>
      <c r="G23" s="2613"/>
      <c r="H23" s="2613"/>
      <c r="I23" s="2613"/>
      <c r="J23" s="2613"/>
      <c r="K23" s="2613"/>
      <c r="L23" s="2614"/>
    </row>
    <row r="24" spans="2:12" ht="13.5" customHeight="1" x14ac:dyDescent="0.3">
      <c r="B24" s="2624" t="str">
        <f>B6</f>
        <v>ZÁKLADNÍ ROZPOČTOVÉ NÁKLADY</v>
      </c>
      <c r="C24" s="1432" t="str">
        <f>IF('0 Úvod'!$M$10="English",Slovnik!D485,Slovnik!C485)</f>
        <v>Obrusná vrstva</v>
      </c>
      <c r="D24" s="1744"/>
      <c r="E24" s="1741">
        <v>5</v>
      </c>
      <c r="F24" s="1435">
        <v>20</v>
      </c>
      <c r="G24" s="1435"/>
      <c r="H24" s="1435">
        <v>65</v>
      </c>
      <c r="I24" s="1435"/>
      <c r="J24" s="1435">
        <v>10</v>
      </c>
      <c r="K24" s="1436"/>
      <c r="L24" s="1447">
        <f t="shared" ref="L24:L35" si="1">E24/100*$E$115+F24/100*$E$116+G24/100*$E$117+H24/100*$E$118+I24/100*$E$119+J24/100*$E$120+K24/100*$E$121</f>
        <v>0.86760000000000004</v>
      </c>
    </row>
    <row r="25" spans="2:12" ht="13.5" customHeight="1" x14ac:dyDescent="0.3">
      <c r="B25" s="2625"/>
      <c r="C25" s="1432" t="str">
        <f>IF('0 Úvod'!$M$10="English",Slovnik!D486,Slovnik!C486)</f>
        <v>Ložná vrstva</v>
      </c>
      <c r="D25" s="1745"/>
      <c r="E25" s="1741">
        <v>5</v>
      </c>
      <c r="F25" s="1435">
        <v>20</v>
      </c>
      <c r="G25" s="1435"/>
      <c r="H25" s="1435">
        <v>65</v>
      </c>
      <c r="I25" s="1435"/>
      <c r="J25" s="1435">
        <v>10</v>
      </c>
      <c r="K25" s="1436"/>
      <c r="L25" s="1448">
        <f t="shared" si="1"/>
        <v>0.86760000000000004</v>
      </c>
    </row>
    <row r="26" spans="2:12" ht="13.5" customHeight="1" x14ac:dyDescent="0.3">
      <c r="B26" s="2625"/>
      <c r="C26" s="1432" t="str">
        <f>IF('0 Úvod'!$M$10="English",Slovnik!D487,Slovnik!C487)</f>
        <v>Podkladní vrstvy</v>
      </c>
      <c r="D26" s="1745"/>
      <c r="E26" s="1741">
        <v>5</v>
      </c>
      <c r="F26" s="1435">
        <v>20</v>
      </c>
      <c r="G26" s="1435"/>
      <c r="H26" s="1435">
        <v>65</v>
      </c>
      <c r="I26" s="1435"/>
      <c r="J26" s="1435">
        <v>10</v>
      </c>
      <c r="K26" s="1436"/>
      <c r="L26" s="1448">
        <f t="shared" si="1"/>
        <v>0.86760000000000004</v>
      </c>
    </row>
    <row r="27" spans="2:12" ht="13.5" customHeight="1" x14ac:dyDescent="0.3">
      <c r="B27" s="2625"/>
      <c r="C27" s="1432" t="str">
        <f>IF('0 Úvod'!$M$10="English",Slovnik!D488,Slovnik!C488)</f>
        <v>Inženýrské sítě a komunikace</v>
      </c>
      <c r="D27" s="1745"/>
      <c r="E27" s="1741">
        <v>5</v>
      </c>
      <c r="F27" s="1435">
        <v>20</v>
      </c>
      <c r="G27" s="1435"/>
      <c r="H27" s="1435">
        <v>45</v>
      </c>
      <c r="I27" s="1435">
        <v>25</v>
      </c>
      <c r="J27" s="1435">
        <v>10</v>
      </c>
      <c r="K27" s="1436"/>
      <c r="L27" s="1448">
        <f t="shared" si="1"/>
        <v>0.91705000000000003</v>
      </c>
    </row>
    <row r="28" spans="2:12" ht="13.5" customHeight="1" x14ac:dyDescent="0.3">
      <c r="B28" s="2625"/>
      <c r="C28" s="1432" t="str">
        <f>IF('0 Úvod'!$M$10="English",Slovnik!D489,Slovnik!C489)</f>
        <v>Odvodňovací zařízení</v>
      </c>
      <c r="D28" s="1745"/>
      <c r="E28" s="1741">
        <v>5</v>
      </c>
      <c r="F28" s="1435">
        <v>20</v>
      </c>
      <c r="G28" s="1435"/>
      <c r="H28" s="1435">
        <v>45</v>
      </c>
      <c r="I28" s="1435">
        <v>20</v>
      </c>
      <c r="J28" s="1435">
        <v>10</v>
      </c>
      <c r="K28" s="1436"/>
      <c r="L28" s="1448">
        <f t="shared" si="1"/>
        <v>0.8680000000000001</v>
      </c>
    </row>
    <row r="29" spans="2:12" ht="13.5" customHeight="1" x14ac:dyDescent="0.3">
      <c r="B29" s="2625"/>
      <c r="C29" s="1432" t="str">
        <f>IF('0 Úvod'!$M$10="English",Slovnik!D490,Slovnik!C490)</f>
        <v>Zemní těleso</v>
      </c>
      <c r="D29" s="1745"/>
      <c r="E29" s="1741">
        <v>5</v>
      </c>
      <c r="F29" s="1435">
        <v>20</v>
      </c>
      <c r="G29" s="1435"/>
      <c r="H29" s="1435">
        <v>55</v>
      </c>
      <c r="I29" s="1435">
        <v>10</v>
      </c>
      <c r="J29" s="1435">
        <v>10</v>
      </c>
      <c r="K29" s="1436"/>
      <c r="L29" s="1448">
        <f t="shared" si="1"/>
        <v>0.8677999999999999</v>
      </c>
    </row>
    <row r="30" spans="2:12" ht="13.5" customHeight="1" x14ac:dyDescent="0.3">
      <c r="B30" s="2625"/>
      <c r="C30" s="1432" t="str">
        <f>IF('0 Úvod'!$M$10="English",Slovnik!D491,Slovnik!C491)</f>
        <v xml:space="preserve">Mosty </v>
      </c>
      <c r="D30" s="1745"/>
      <c r="E30" s="1741">
        <v>10</v>
      </c>
      <c r="F30" s="1435">
        <v>15</v>
      </c>
      <c r="G30" s="1435"/>
      <c r="H30" s="1435">
        <v>35</v>
      </c>
      <c r="I30" s="1435">
        <v>35</v>
      </c>
      <c r="J30" s="1435">
        <v>5</v>
      </c>
      <c r="K30" s="1436"/>
      <c r="L30" s="1448">
        <f t="shared" si="1"/>
        <v>0.87695000000000001</v>
      </c>
    </row>
    <row r="31" spans="2:12" ht="13.5" customHeight="1" x14ac:dyDescent="0.3">
      <c r="B31" s="2625"/>
      <c r="C31" s="1432" t="str">
        <f>IF('0 Úvod'!$M$10="English",Slovnik!D492,Slovnik!C492)</f>
        <v>Tunely</v>
      </c>
      <c r="D31" s="1745"/>
      <c r="E31" s="1742">
        <v>15</v>
      </c>
      <c r="F31" s="1437">
        <v>10</v>
      </c>
      <c r="G31" s="1437"/>
      <c r="H31" s="1437">
        <v>30</v>
      </c>
      <c r="I31" s="1437">
        <v>40</v>
      </c>
      <c r="J31" s="1437">
        <v>5</v>
      </c>
      <c r="K31" s="1441"/>
      <c r="L31" s="1448">
        <f t="shared" si="1"/>
        <v>0.87860000000000005</v>
      </c>
    </row>
    <row r="32" spans="2:12" ht="13.5" customHeight="1" x14ac:dyDescent="0.3">
      <c r="B32" s="2627" t="str">
        <f>B19</f>
        <v>VEDLEJŠÍ ROZP. NÁKLADY</v>
      </c>
      <c r="C32" s="1433" t="str">
        <f>IF('0 Úvod'!$M$10="English",Slovnik!D493,Slovnik!C493)</f>
        <v>Přípravná a projektová dokumentace, průzkumy</v>
      </c>
      <c r="D32" s="1746"/>
      <c r="E32" s="1741">
        <v>85</v>
      </c>
      <c r="F32" s="1435">
        <v>5</v>
      </c>
      <c r="G32" s="1435">
        <v>5</v>
      </c>
      <c r="H32" s="1435"/>
      <c r="I32" s="1435"/>
      <c r="J32" s="1435">
        <v>5</v>
      </c>
      <c r="K32" s="1436"/>
      <c r="L32" s="1749">
        <f t="shared" si="1"/>
        <v>0.64280000000000004</v>
      </c>
    </row>
    <row r="33" spans="2:12" ht="13.5" customHeight="1" x14ac:dyDescent="0.3">
      <c r="B33" s="2625"/>
      <c r="C33" s="1432" t="str">
        <f>IF('0 Úvod'!$M$10="English",Slovnik!D494,Slovnik!C494)</f>
        <v>Výkupy pozemků a nemovitostí</v>
      </c>
      <c r="D33" s="1745"/>
      <c r="E33" s="1741">
        <v>5</v>
      </c>
      <c r="F33" s="1435"/>
      <c r="G33" s="1435"/>
      <c r="H33" s="1435"/>
      <c r="I33" s="1435"/>
      <c r="J33" s="1435"/>
      <c r="K33" s="1436">
        <v>95</v>
      </c>
      <c r="L33" s="1448">
        <f t="shared" si="1"/>
        <v>0.18486684782608695</v>
      </c>
    </row>
    <row r="34" spans="2:12" ht="13.5" customHeight="1" x14ac:dyDescent="0.3">
      <c r="B34" s="2625"/>
      <c r="C34" s="1432" t="str">
        <f>IF('0 Úvod'!$M$10="English",Slovnik!D495,Slovnik!C495)</f>
        <v>Technická asistence, propagace</v>
      </c>
      <c r="D34" s="1745"/>
      <c r="E34" s="1741">
        <v>85</v>
      </c>
      <c r="F34" s="1435">
        <v>5</v>
      </c>
      <c r="G34" s="1435">
        <v>5</v>
      </c>
      <c r="H34" s="1435"/>
      <c r="I34" s="1435"/>
      <c r="J34" s="1435">
        <v>5</v>
      </c>
      <c r="K34" s="1436"/>
      <c r="L34" s="1448">
        <f t="shared" si="1"/>
        <v>0.64280000000000004</v>
      </c>
    </row>
    <row r="35" spans="2:12" ht="13.5" customHeight="1" thickBot="1" x14ac:dyDescent="0.35">
      <c r="B35" s="2646"/>
      <c r="C35" s="1434" t="str">
        <f>IF('0 Úvod'!$M$10="English",Slovnik!D496,Slovnik!C496)</f>
        <v>Technický dozor</v>
      </c>
      <c r="D35" s="1748"/>
      <c r="E35" s="1743">
        <v>85</v>
      </c>
      <c r="F35" s="1439">
        <v>5</v>
      </c>
      <c r="G35" s="1439">
        <v>5</v>
      </c>
      <c r="H35" s="1439"/>
      <c r="I35" s="1439"/>
      <c r="J35" s="1439">
        <v>5</v>
      </c>
      <c r="K35" s="1440"/>
      <c r="L35" s="1449">
        <f t="shared" si="1"/>
        <v>0.64280000000000004</v>
      </c>
    </row>
    <row r="36" spans="2:12" ht="13.5" customHeight="1" thickBot="1" x14ac:dyDescent="0.3">
      <c r="B36" s="2612" t="str">
        <f>IF('0 Úvod'!$M$10="English",Slovnik!$D$497,Slovnik!$C$497)</f>
        <v>VODNÍ INFRASTRUKTURA</v>
      </c>
      <c r="C36" s="2613"/>
      <c r="D36" s="2613"/>
      <c r="E36" s="2613"/>
      <c r="F36" s="2613"/>
      <c r="G36" s="2613"/>
      <c r="H36" s="2613"/>
      <c r="I36" s="2613"/>
      <c r="J36" s="2613"/>
      <c r="K36" s="2613"/>
      <c r="L36" s="2614"/>
    </row>
    <row r="37" spans="2:12" ht="13.5" customHeight="1" x14ac:dyDescent="0.3">
      <c r="B37" s="2624" t="str">
        <f>B24</f>
        <v>ZÁKLADNÍ ROZPOČTOVÉ NÁKLADY</v>
      </c>
      <c r="C37" s="1432" t="str">
        <f>IF('0 Úvod'!$M$10="English",Slovnik!D498,Slovnik!C498)</f>
        <v>Přístavní zdi</v>
      </c>
      <c r="D37" s="1744"/>
      <c r="E37" s="1741">
        <v>10</v>
      </c>
      <c r="F37" s="1435">
        <v>15</v>
      </c>
      <c r="G37" s="1435"/>
      <c r="H37" s="1435">
        <v>45</v>
      </c>
      <c r="I37" s="1435">
        <v>25</v>
      </c>
      <c r="J37" s="1435">
        <v>5</v>
      </c>
      <c r="K37" s="1436"/>
      <c r="L37" s="1447">
        <f t="shared" ref="L37:L51" si="2">E37/100*$E$115+F37/100*$E$116+G37/100*$E$117+H37/100*$E$118+I37/100*$E$119+J37/100*$E$120+K37/100*$E$121</f>
        <v>0.87675000000000003</v>
      </c>
    </row>
    <row r="38" spans="2:12" ht="13.5" customHeight="1" x14ac:dyDescent="0.3">
      <c r="B38" s="2625"/>
      <c r="C38" s="1432" t="str">
        <f>IF('0 Úvod'!$M$10="English",Slovnik!D499,Slovnik!C499)</f>
        <v>Hrubé hydrotechnické konstrukce</v>
      </c>
      <c r="D38" s="1745"/>
      <c r="E38" s="1741">
        <v>15</v>
      </c>
      <c r="F38" s="1435">
        <v>10</v>
      </c>
      <c r="G38" s="1435"/>
      <c r="H38" s="1435">
        <v>45</v>
      </c>
      <c r="I38" s="1435">
        <v>25</v>
      </c>
      <c r="J38" s="1435">
        <v>5</v>
      </c>
      <c r="K38" s="1436"/>
      <c r="L38" s="1448">
        <f t="shared" si="2"/>
        <v>0.87829999999999997</v>
      </c>
    </row>
    <row r="39" spans="2:12" ht="13.5" customHeight="1" x14ac:dyDescent="0.3">
      <c r="B39" s="2625"/>
      <c r="C39" s="1432" t="str">
        <f>IF('0 Úvod'!$M$10="English",Slovnik!D500,Slovnik!C500)</f>
        <v>Ocelové konstrukce</v>
      </c>
      <c r="D39" s="1745"/>
      <c r="E39" s="1741">
        <v>10</v>
      </c>
      <c r="F39" s="1435">
        <v>10</v>
      </c>
      <c r="G39" s="1435">
        <v>10</v>
      </c>
      <c r="H39" s="1435">
        <v>15</v>
      </c>
      <c r="I39" s="1435">
        <v>50</v>
      </c>
      <c r="J39" s="1435">
        <v>5</v>
      </c>
      <c r="K39" s="1436"/>
      <c r="L39" s="1448">
        <f t="shared" si="2"/>
        <v>0.89710000000000012</v>
      </c>
    </row>
    <row r="40" spans="2:12" ht="13.5" customHeight="1" x14ac:dyDescent="0.3">
      <c r="B40" s="2625"/>
      <c r="C40" s="1432" t="str">
        <f>IF('0 Úvod'!$M$10="English",Slovnik!D501,Slovnik!C501)</f>
        <v>Mosty, propustky, tunely a štoly</v>
      </c>
      <c r="D40" s="1745"/>
      <c r="E40" s="1741">
        <v>10</v>
      </c>
      <c r="F40" s="1435">
        <v>15</v>
      </c>
      <c r="G40" s="1435"/>
      <c r="H40" s="1435">
        <v>45</v>
      </c>
      <c r="I40" s="1435">
        <v>25</v>
      </c>
      <c r="J40" s="1435">
        <v>5</v>
      </c>
      <c r="K40" s="1436"/>
      <c r="L40" s="1448">
        <f t="shared" si="2"/>
        <v>0.87675000000000003</v>
      </c>
    </row>
    <row r="41" spans="2:12" ht="13.5" customHeight="1" x14ac:dyDescent="0.3">
      <c r="B41" s="2625"/>
      <c r="C41" s="1432" t="str">
        <f>IF('0 Úvod'!$M$10="English",Slovnik!D502,Slovnik!C502)</f>
        <v>Pozemní stavby</v>
      </c>
      <c r="D41" s="1745"/>
      <c r="E41" s="1741">
        <v>10</v>
      </c>
      <c r="F41" s="1435">
        <v>15</v>
      </c>
      <c r="G41" s="1435"/>
      <c r="H41" s="1435">
        <v>30</v>
      </c>
      <c r="I41" s="1435">
        <v>40</v>
      </c>
      <c r="J41" s="1435">
        <v>5</v>
      </c>
      <c r="K41" s="1436"/>
      <c r="L41" s="1448">
        <f t="shared" si="2"/>
        <v>0.87705</v>
      </c>
    </row>
    <row r="42" spans="2:12" ht="13.5" customHeight="1" x14ac:dyDescent="0.3">
      <c r="B42" s="2625"/>
      <c r="C42" s="1432" t="str">
        <f>IF('0 Úvod'!$M$10="English",Slovnik!D503,Slovnik!C503)</f>
        <v>Komunikace a zpevněné plochy</v>
      </c>
      <c r="D42" s="1745"/>
      <c r="E42" s="1741">
        <v>10</v>
      </c>
      <c r="F42" s="1435">
        <v>15</v>
      </c>
      <c r="G42" s="1435"/>
      <c r="H42" s="1435">
        <v>40</v>
      </c>
      <c r="I42" s="1435">
        <v>30</v>
      </c>
      <c r="J42" s="1435">
        <v>5</v>
      </c>
      <c r="K42" s="1436"/>
      <c r="L42" s="1448">
        <f t="shared" si="2"/>
        <v>0.87685000000000002</v>
      </c>
    </row>
    <row r="43" spans="2:12" ht="13.5" customHeight="1" x14ac:dyDescent="0.3">
      <c r="B43" s="2625"/>
      <c r="C43" s="1432" t="str">
        <f>IF('0 Úvod'!$M$10="English",Slovnik!D504,Slovnik!C504)</f>
        <v>Silnoproudá instalace</v>
      </c>
      <c r="D43" s="1745"/>
      <c r="E43" s="1741">
        <v>15</v>
      </c>
      <c r="F43" s="1435">
        <v>10</v>
      </c>
      <c r="G43" s="1435">
        <v>30</v>
      </c>
      <c r="H43" s="1435"/>
      <c r="I43" s="1435">
        <v>40</v>
      </c>
      <c r="J43" s="1435">
        <v>5</v>
      </c>
      <c r="K43" s="1436"/>
      <c r="L43" s="1448">
        <f t="shared" si="2"/>
        <v>0.87890000000000013</v>
      </c>
    </row>
    <row r="44" spans="2:12" ht="13.5" customHeight="1" x14ac:dyDescent="0.3">
      <c r="B44" s="2625"/>
      <c r="C44" s="1432" t="str">
        <f>IF('0 Úvod'!$M$10="English",Slovnik!D505,Slovnik!C505)</f>
        <v>Slaboproudá instalace</v>
      </c>
      <c r="D44" s="1745"/>
      <c r="E44" s="1741">
        <v>15</v>
      </c>
      <c r="F44" s="1435">
        <v>10</v>
      </c>
      <c r="G44" s="1435">
        <v>30</v>
      </c>
      <c r="H44" s="1435"/>
      <c r="I44" s="1435">
        <v>40</v>
      </c>
      <c r="J44" s="1435">
        <v>5</v>
      </c>
      <c r="K44" s="1436"/>
      <c r="L44" s="1448">
        <f t="shared" si="2"/>
        <v>0.87890000000000013</v>
      </c>
    </row>
    <row r="45" spans="2:12" ht="13.5" customHeight="1" x14ac:dyDescent="0.3">
      <c r="B45" s="2625"/>
      <c r="C45" s="1432" t="str">
        <f>IF('0 Úvod'!$M$10="English",Slovnik!D506,Slovnik!C506)</f>
        <v>Inženýrské objekty (trubní vedení a kabelovody)</v>
      </c>
      <c r="D45" s="1745"/>
      <c r="E45" s="1741">
        <v>5</v>
      </c>
      <c r="F45" s="1435">
        <v>20</v>
      </c>
      <c r="G45" s="1435">
        <v>5</v>
      </c>
      <c r="H45" s="1435">
        <v>55</v>
      </c>
      <c r="I45" s="1435">
        <v>10</v>
      </c>
      <c r="J45" s="1435">
        <v>5</v>
      </c>
      <c r="K45" s="1436"/>
      <c r="L45" s="1448">
        <f t="shared" si="2"/>
        <v>0.87495000000000001</v>
      </c>
    </row>
    <row r="46" spans="2:12" ht="13.5" customHeight="1" x14ac:dyDescent="0.3">
      <c r="B46" s="2625"/>
      <c r="C46" s="1432" t="str">
        <f>IF('0 Úvod'!$M$10="English",Slovnik!D507,Slovnik!C507)</f>
        <v>Úpravy vodního toku a terénní úpravy</v>
      </c>
      <c r="D46" s="1745"/>
      <c r="E46" s="1741">
        <v>15</v>
      </c>
      <c r="F46" s="1435">
        <v>20</v>
      </c>
      <c r="G46" s="1435"/>
      <c r="H46" s="1435">
        <v>45</v>
      </c>
      <c r="I46" s="1435">
        <v>15</v>
      </c>
      <c r="J46" s="1435">
        <v>5</v>
      </c>
      <c r="K46" s="1436"/>
      <c r="L46" s="1448">
        <f t="shared" si="2"/>
        <v>0.83860000000000001</v>
      </c>
    </row>
    <row r="47" spans="2:12" ht="13.5" customHeight="1" x14ac:dyDescent="0.3">
      <c r="B47" s="2626"/>
      <c r="C47" s="1432" t="str">
        <f>IF('0 Úvod'!$M$10="English",Slovnik!D508,Slovnik!C508)</f>
        <v>Objekty ochrany životního prostředí</v>
      </c>
      <c r="D47" s="1745"/>
      <c r="E47" s="1742">
        <v>10</v>
      </c>
      <c r="F47" s="1437">
        <v>15</v>
      </c>
      <c r="G47" s="1437"/>
      <c r="H47" s="1437">
        <v>35</v>
      </c>
      <c r="I47" s="1437">
        <v>35</v>
      </c>
      <c r="J47" s="1437">
        <v>5</v>
      </c>
      <c r="K47" s="1441"/>
      <c r="L47" s="1448">
        <f t="shared" si="2"/>
        <v>0.87695000000000001</v>
      </c>
    </row>
    <row r="48" spans="2:12" ht="13.5" customHeight="1" x14ac:dyDescent="0.3">
      <c r="B48" s="2627" t="str">
        <f>B32</f>
        <v>VEDLEJŠÍ ROZP. NÁKLADY</v>
      </c>
      <c r="C48" s="1433" t="str">
        <f>IF('0 Úvod'!$M$10="English",Slovnik!D509,Slovnik!C509)</f>
        <v>Přípravná a projektová dokumentace, průzkumy</v>
      </c>
      <c r="D48" s="1746"/>
      <c r="E48" s="1741">
        <v>85</v>
      </c>
      <c r="F48" s="1435">
        <v>5</v>
      </c>
      <c r="G48" s="1435">
        <v>5</v>
      </c>
      <c r="H48" s="1435"/>
      <c r="I48" s="1435"/>
      <c r="J48" s="1435">
        <v>5</v>
      </c>
      <c r="K48" s="1436"/>
      <c r="L48" s="1749">
        <f t="shared" si="2"/>
        <v>0.64280000000000004</v>
      </c>
    </row>
    <row r="49" spans="2:12" ht="13.5" customHeight="1" x14ac:dyDescent="0.3">
      <c r="B49" s="2625"/>
      <c r="C49" s="1432" t="str">
        <f>IF('0 Úvod'!$M$10="English",Slovnik!D510,Slovnik!C510)</f>
        <v>Výkupy pozemků a nemovitostí</v>
      </c>
      <c r="D49" s="1745"/>
      <c r="E49" s="1741">
        <v>5</v>
      </c>
      <c r="F49" s="1435"/>
      <c r="G49" s="1435"/>
      <c r="H49" s="1435"/>
      <c r="I49" s="1435"/>
      <c r="J49" s="1435"/>
      <c r="K49" s="1436">
        <v>95</v>
      </c>
      <c r="L49" s="1448">
        <f t="shared" si="2"/>
        <v>0.18486684782608695</v>
      </c>
    </row>
    <row r="50" spans="2:12" ht="13.5" customHeight="1" x14ac:dyDescent="0.3">
      <c r="B50" s="2625"/>
      <c r="C50" s="1432" t="str">
        <f>IF('0 Úvod'!$M$10="English",Slovnik!D511,Slovnik!C511)</f>
        <v>Technická asistence, propagace</v>
      </c>
      <c r="D50" s="1745"/>
      <c r="E50" s="1741">
        <v>85</v>
      </c>
      <c r="F50" s="1435">
        <v>5</v>
      </c>
      <c r="G50" s="1435">
        <v>5</v>
      </c>
      <c r="H50" s="1435"/>
      <c r="I50" s="1435"/>
      <c r="J50" s="1435">
        <v>5</v>
      </c>
      <c r="K50" s="1436"/>
      <c r="L50" s="1448">
        <f t="shared" si="2"/>
        <v>0.64280000000000004</v>
      </c>
    </row>
    <row r="51" spans="2:12" ht="13.5" customHeight="1" thickBot="1" x14ac:dyDescent="0.35">
      <c r="B51" s="2628"/>
      <c r="C51" s="1750" t="str">
        <f>IF('0 Úvod'!$M$10="English",Slovnik!D512,Slovnik!C512)</f>
        <v>Technický dozor</v>
      </c>
      <c r="D51" s="1747"/>
      <c r="E51" s="1751">
        <v>85</v>
      </c>
      <c r="F51" s="1752">
        <v>5</v>
      </c>
      <c r="G51" s="1752">
        <v>5</v>
      </c>
      <c r="H51" s="1752"/>
      <c r="I51" s="1752"/>
      <c r="J51" s="1752">
        <v>5</v>
      </c>
      <c r="K51" s="1753"/>
      <c r="L51" s="1754">
        <f t="shared" si="2"/>
        <v>0.64280000000000004</v>
      </c>
    </row>
    <row r="53" spans="2:12" ht="14.25" thickBot="1" x14ac:dyDescent="0.3"/>
    <row r="54" spans="2:12" ht="13.5" customHeight="1" thickBot="1" x14ac:dyDescent="0.3">
      <c r="B54" s="2605" t="s">
        <v>232</v>
      </c>
      <c r="C54" s="2592" t="str">
        <f>IF('0 Úvod'!$M$10="English",Slovnik!$D$513,Slovnik!$C$513)</f>
        <v>Konverzní faktor -PROVOZNÍ NÁKLADY</v>
      </c>
      <c r="D54" s="2629" t="str">
        <f>D2</f>
        <v>Náklady (CZK)</v>
      </c>
      <c r="E54" s="2632" t="str">
        <f>E2</f>
        <v>Zastoupení složky pro konverzní faktor [%]</v>
      </c>
      <c r="F54" s="2633"/>
      <c r="G54" s="2633"/>
      <c r="H54" s="2633"/>
      <c r="I54" s="2633"/>
      <c r="J54" s="2633"/>
      <c r="K54" s="2634"/>
      <c r="L54" s="2635" t="str">
        <f>L2</f>
        <v>KF (bez ziskové marže)</v>
      </c>
    </row>
    <row r="55" spans="2:12" ht="13.5" customHeight="1" x14ac:dyDescent="0.25">
      <c r="B55" s="2606"/>
      <c r="C55" s="2595"/>
      <c r="D55" s="2630"/>
      <c r="E55" s="2638" t="str">
        <f>E3</f>
        <v>PRÁCE</v>
      </c>
      <c r="F55" s="2639"/>
      <c r="G55" s="2639" t="str">
        <f>G3</f>
        <v>MATERIÁL</v>
      </c>
      <c r="H55" s="2639"/>
      <c r="I55" s="2639"/>
      <c r="J55" s="1427" t="str">
        <f>J3</f>
        <v>ENERGIE + PH</v>
      </c>
      <c r="K55" s="1428" t="str">
        <f>K3</f>
        <v>POZEMKY</v>
      </c>
      <c r="L55" s="2636"/>
    </row>
    <row r="56" spans="2:12" ht="13.5" customHeight="1" thickBot="1" x14ac:dyDescent="0.3">
      <c r="B56" s="2607"/>
      <c r="C56" s="2598"/>
      <c r="D56" s="2631"/>
      <c r="E56" s="1429" t="str">
        <f>E4</f>
        <v>kvalifikovaná</v>
      </c>
      <c r="F56" s="1430" t="str">
        <f>F4</f>
        <v>nekvalifikovaná</v>
      </c>
      <c r="G56" s="1430" t="str">
        <f>G4</f>
        <v>IT (SW, HW)</v>
      </c>
      <c r="H56" s="1430" t="str">
        <f>H4</f>
        <v>sypké hmoty, beton…</v>
      </c>
      <c r="I56" s="1430" t="str">
        <f>I4</f>
        <v>konstrukce</v>
      </c>
      <c r="J56" s="1430"/>
      <c r="K56" s="1431"/>
      <c r="L56" s="2637"/>
    </row>
    <row r="57" spans="2:12" ht="13.5" customHeight="1" thickBot="1" x14ac:dyDescent="0.3">
      <c r="B57" s="2612" t="str">
        <f>B5</f>
        <v>ŽELEZNIČNÍ INFRASTRUKTURA</v>
      </c>
      <c r="C57" s="2613"/>
      <c r="D57" s="2613"/>
      <c r="E57" s="2613"/>
      <c r="F57" s="2613"/>
      <c r="G57" s="2613"/>
      <c r="H57" s="2613"/>
      <c r="I57" s="2613"/>
      <c r="J57" s="2613"/>
      <c r="K57" s="2613"/>
      <c r="L57" s="2614"/>
    </row>
    <row r="58" spans="2:12" ht="13.5" customHeight="1" thickBot="1" x14ac:dyDescent="0.3">
      <c r="B58" s="2615" t="str">
        <f>IF('0 Úvod'!$M$10="English",Slovnik!$D$514,Slovnik!$C$514)</f>
        <v>provozuschopnost - OPRAVY A ÚDRŽBA</v>
      </c>
      <c r="C58" s="2616"/>
      <c r="D58" s="2616"/>
      <c r="E58" s="2616"/>
      <c r="F58" s="2616"/>
      <c r="G58" s="2616"/>
      <c r="H58" s="2616"/>
      <c r="I58" s="2616"/>
      <c r="J58" s="2616"/>
      <c r="K58" s="2616"/>
      <c r="L58" s="2617"/>
    </row>
    <row r="59" spans="2:12" ht="13.5" customHeight="1" x14ac:dyDescent="0.3">
      <c r="B59" s="1757"/>
      <c r="C59" s="1755" t="str">
        <f>IF('0 Úvod'!$M$10="English",Slovnik!D515,Slovnik!C515)</f>
        <v>Mosty a tunely</v>
      </c>
      <c r="D59" s="1744"/>
      <c r="E59" s="1756">
        <v>10</v>
      </c>
      <c r="F59" s="1442">
        <v>30</v>
      </c>
      <c r="G59" s="1442">
        <v>30</v>
      </c>
      <c r="H59" s="1442"/>
      <c r="I59" s="1442">
        <v>20</v>
      </c>
      <c r="J59" s="1442">
        <v>10</v>
      </c>
      <c r="K59" s="1443"/>
      <c r="L59" s="1447">
        <f>E59/100*$E$115+F59/100*$E$116+G59/100*$E$117+H59/100*$E$118+I59/100*$E$119+J59/100*$E$120+K59/100*$E$121</f>
        <v>0.81059999999999999</v>
      </c>
    </row>
    <row r="60" spans="2:12" ht="13.5" customHeight="1" x14ac:dyDescent="0.3">
      <c r="B60" s="1758"/>
      <c r="C60" s="1432" t="str">
        <f>IF('0 Úvod'!$M$10="English",Slovnik!D516,Slovnik!C516)</f>
        <v>Provozní budovy</v>
      </c>
      <c r="D60" s="1745"/>
      <c r="E60" s="1741">
        <v>10</v>
      </c>
      <c r="F60" s="1435">
        <v>30</v>
      </c>
      <c r="G60" s="1435">
        <v>30</v>
      </c>
      <c r="H60" s="1435"/>
      <c r="I60" s="1435">
        <v>20</v>
      </c>
      <c r="J60" s="1435">
        <v>10</v>
      </c>
      <c r="K60" s="1436"/>
      <c r="L60" s="1448">
        <f>E60/100*$E$115+F60/100*$E$116+G60/100*$E$117+H60/100*$E$118+I60/100*$E$119+J60/100*$E$120+K60/100*$E$121</f>
        <v>0.81059999999999999</v>
      </c>
    </row>
    <row r="61" spans="2:12" ht="13.5" customHeight="1" x14ac:dyDescent="0.3">
      <c r="B61" s="1758"/>
      <c r="C61" s="1432" t="str">
        <f>IF('0 Úvod'!$M$10="English",Slovnik!D517,Slovnik!C517)</f>
        <v>Traťové hospodářství</v>
      </c>
      <c r="D61" s="1745"/>
      <c r="E61" s="1741">
        <v>10</v>
      </c>
      <c r="F61" s="1435">
        <v>25</v>
      </c>
      <c r="G61" s="1435">
        <v>5</v>
      </c>
      <c r="H61" s="1435">
        <v>35</v>
      </c>
      <c r="I61" s="1435">
        <v>15</v>
      </c>
      <c r="J61" s="1435">
        <v>10</v>
      </c>
      <c r="K61" s="1436"/>
      <c r="L61" s="1448">
        <f>E61/100*$E$115+F61/100*$E$116+G61/100*$E$117+H61/100*$E$118+I61/100*$E$119+J61/100*$E$120+K61/100*$E$121</f>
        <v>0.83</v>
      </c>
    </row>
    <row r="62" spans="2:12" ht="13.5" customHeight="1" x14ac:dyDescent="0.3">
      <c r="B62" s="1758"/>
      <c r="C62" s="1432" t="str">
        <f>IF('0 Úvod'!$M$10="English",Slovnik!D518,Slovnik!C518)</f>
        <v>Zab. a sděl. zařízení</v>
      </c>
      <c r="D62" s="1745"/>
      <c r="E62" s="1741">
        <v>15</v>
      </c>
      <c r="F62" s="1435">
        <v>30</v>
      </c>
      <c r="G62" s="1435">
        <v>30</v>
      </c>
      <c r="H62" s="1435"/>
      <c r="I62" s="1435">
        <v>15</v>
      </c>
      <c r="J62" s="1435">
        <v>10</v>
      </c>
      <c r="K62" s="1436"/>
      <c r="L62" s="1448">
        <f>E62/100*$E$115+F62/100*$E$116+G62/100*$E$117+H62/100*$E$118+I62/100*$E$119+J62/100*$E$120+K62/100*$E$121</f>
        <v>0.7923</v>
      </c>
    </row>
    <row r="63" spans="2:12" ht="13.5" customHeight="1" thickBot="1" x14ac:dyDescent="0.35">
      <c r="B63" s="1758"/>
      <c r="C63" s="1432" t="str">
        <f>IF('0 Úvod'!$M$10="English",Slovnik!D519,Slovnik!C519)</f>
        <v>Elektrotechnika a energo</v>
      </c>
      <c r="D63" s="1745"/>
      <c r="E63" s="1741">
        <v>10</v>
      </c>
      <c r="F63" s="1435">
        <v>30</v>
      </c>
      <c r="G63" s="1435">
        <v>30</v>
      </c>
      <c r="H63" s="1435"/>
      <c r="I63" s="1435">
        <v>20</v>
      </c>
      <c r="J63" s="1435">
        <v>10</v>
      </c>
      <c r="K63" s="1436"/>
      <c r="L63" s="1448">
        <f>E63/100*$E$115+F63/100*$E$116+G63/100*$E$117+H63/100*$E$118+I63/100*$E$119+J63/100*$E$120+K63/100*$E$121</f>
        <v>0.81059999999999999</v>
      </c>
    </row>
    <row r="64" spans="2:12" ht="13.5" customHeight="1" thickBot="1" x14ac:dyDescent="0.3">
      <c r="B64" s="2615" t="str">
        <f>IF('0 Úvod'!$M$10="English",Slovnik!$D$520,Slovnik!$C$520)</f>
        <v>provozuschopnost - REINVESTICE</v>
      </c>
      <c r="C64" s="2616"/>
      <c r="D64" s="2616"/>
      <c r="E64" s="2616"/>
      <c r="F64" s="2616"/>
      <c r="G64" s="2616"/>
      <c r="H64" s="2616"/>
      <c r="I64" s="2616"/>
      <c r="J64" s="2616"/>
      <c r="K64" s="2616"/>
      <c r="L64" s="2617"/>
    </row>
    <row r="65" spans="2:12" ht="13.5" customHeight="1" x14ac:dyDescent="0.3">
      <c r="B65" s="1758"/>
      <c r="C65" s="1432" t="str">
        <f>C59</f>
        <v>Mosty a tunely</v>
      </c>
      <c r="D65" s="1744"/>
      <c r="E65" s="1741">
        <v>10</v>
      </c>
      <c r="F65" s="1435">
        <v>15</v>
      </c>
      <c r="G65" s="1435">
        <v>5</v>
      </c>
      <c r="H65" s="1435">
        <v>40</v>
      </c>
      <c r="I65" s="1435">
        <v>25</v>
      </c>
      <c r="J65" s="1435">
        <v>5</v>
      </c>
      <c r="K65" s="1436"/>
      <c r="L65" s="1448">
        <f>E65/100*$E$115+F65/100*$E$116+G65/100*$E$117+H65/100*$E$118+I65/100*$E$119+J65/100*$E$120+K65/100*$E$121</f>
        <v>0.87680000000000002</v>
      </c>
    </row>
    <row r="66" spans="2:12" ht="13.5" customHeight="1" x14ac:dyDescent="0.3">
      <c r="B66" s="1758"/>
      <c r="C66" s="1432" t="str">
        <f t="shared" ref="C66:C69" si="3">C60</f>
        <v>Provozní budovy</v>
      </c>
      <c r="D66" s="1745"/>
      <c r="E66" s="1741">
        <v>10</v>
      </c>
      <c r="F66" s="1435">
        <v>15</v>
      </c>
      <c r="G66" s="1435">
        <v>5</v>
      </c>
      <c r="H66" s="1435">
        <v>40</v>
      </c>
      <c r="I66" s="1435">
        <v>25</v>
      </c>
      <c r="J66" s="1435">
        <v>5</v>
      </c>
      <c r="K66" s="1436"/>
      <c r="L66" s="1448">
        <f>E66/100*$E$115+F66/100*$E$116+G66/100*$E$117+H66/100*$E$118+I66/100*$E$119+J66/100*$E$120+K66/100*$E$121</f>
        <v>0.87680000000000002</v>
      </c>
    </row>
    <row r="67" spans="2:12" ht="13.5" customHeight="1" x14ac:dyDescent="0.3">
      <c r="B67" s="1758"/>
      <c r="C67" s="1432" t="str">
        <f t="shared" si="3"/>
        <v>Traťové hospodářství</v>
      </c>
      <c r="D67" s="1745"/>
      <c r="E67" s="1741">
        <v>10</v>
      </c>
      <c r="F67" s="1435">
        <v>15</v>
      </c>
      <c r="G67" s="1435"/>
      <c r="H67" s="1435">
        <v>45</v>
      </c>
      <c r="I67" s="1435">
        <v>25</v>
      </c>
      <c r="J67" s="1435">
        <v>5</v>
      </c>
      <c r="K67" s="1436"/>
      <c r="L67" s="1448">
        <f>E67/100*$E$115+F67/100*$E$116+G67/100*$E$117+H67/100*$E$118+I67/100*$E$119+J67/100*$E$120+K67/100*$E$121</f>
        <v>0.87675000000000003</v>
      </c>
    </row>
    <row r="68" spans="2:12" ht="13.5" customHeight="1" x14ac:dyDescent="0.3">
      <c r="B68" s="1758"/>
      <c r="C68" s="1432" t="str">
        <f t="shared" si="3"/>
        <v>Zab. a sděl. zařízení</v>
      </c>
      <c r="D68" s="1745"/>
      <c r="E68" s="1741">
        <v>15</v>
      </c>
      <c r="F68" s="1435">
        <v>15</v>
      </c>
      <c r="G68" s="1435">
        <v>60</v>
      </c>
      <c r="H68" s="1435"/>
      <c r="I68" s="1435">
        <v>5</v>
      </c>
      <c r="J68" s="1435">
        <v>5</v>
      </c>
      <c r="K68" s="1436"/>
      <c r="L68" s="1448">
        <f>E68/100*$E$115+F68/100*$E$116+G68/100*$E$117+H68/100*$E$118+I68/100*$E$119+J68/100*$E$120+K68/100*$E$121</f>
        <v>0.85875000000000001</v>
      </c>
    </row>
    <row r="69" spans="2:12" ht="13.5" customHeight="1" thickBot="1" x14ac:dyDescent="0.35">
      <c r="B69" s="1758"/>
      <c r="C69" s="1432" t="str">
        <f t="shared" si="3"/>
        <v>Elektrotechnika a energo</v>
      </c>
      <c r="D69" s="1745"/>
      <c r="E69" s="1741">
        <v>10</v>
      </c>
      <c r="F69" s="1435">
        <v>15</v>
      </c>
      <c r="G69" s="1435">
        <v>30</v>
      </c>
      <c r="H69" s="1435"/>
      <c r="I69" s="1435">
        <v>40</v>
      </c>
      <c r="J69" s="1435">
        <v>5</v>
      </c>
      <c r="K69" s="1436"/>
      <c r="L69" s="1448">
        <f>E69/100*$E$115+F69/100*$E$116+G69/100*$E$117+H69/100*$E$118+I69/100*$E$119+J69/100*$E$120+K69/100*$E$121</f>
        <v>0.87735000000000007</v>
      </c>
    </row>
    <row r="70" spans="2:12" ht="13.5" customHeight="1" thickBot="1" x14ac:dyDescent="0.3">
      <c r="B70" s="2615" t="str">
        <f>IF('0 Úvod'!$M$10="English",Slovnik!$D$521,Slovnik!$C$521)</f>
        <v>provozování - ŘÍZENÍ DOPRAVY</v>
      </c>
      <c r="C70" s="2616"/>
      <c r="D70" s="2616"/>
      <c r="E70" s="2616"/>
      <c r="F70" s="2616"/>
      <c r="G70" s="2616"/>
      <c r="H70" s="2616"/>
      <c r="I70" s="2616"/>
      <c r="J70" s="2616"/>
      <c r="K70" s="2616"/>
      <c r="L70" s="2617"/>
    </row>
    <row r="71" spans="2:12" ht="13.5" customHeight="1" x14ac:dyDescent="0.3">
      <c r="B71" s="1758"/>
      <c r="C71" s="1432" t="str">
        <f>IF('0 Úvod'!$M$10="English",Slovnik!D522,Slovnik!C522)</f>
        <v>Dozorčí provozu</v>
      </c>
      <c r="D71" s="1744"/>
      <c r="E71" s="1741">
        <v>97</v>
      </c>
      <c r="F71" s="1435"/>
      <c r="G71" s="1435"/>
      <c r="H71" s="1435"/>
      <c r="I71" s="1435"/>
      <c r="J71" s="1435">
        <v>3</v>
      </c>
      <c r="K71" s="1436"/>
      <c r="L71" s="1448">
        <f t="shared" ref="L71:L83" si="4">E71/100*$E$115+F71/100*$E$116+G71/100*$E$117+H71/100*$E$118+I71/100*$E$119+J71/100*$E$120+K71/100*$E$121</f>
        <v>0.62165999999999999</v>
      </c>
    </row>
    <row r="72" spans="2:12" ht="13.5" customHeight="1" x14ac:dyDescent="0.3">
      <c r="B72" s="1759"/>
      <c r="C72" s="1432" t="str">
        <f>IF('0 Úvod'!$M$10="English",Slovnik!D523,Slovnik!C523)</f>
        <v>Výpravčí</v>
      </c>
      <c r="D72" s="1745"/>
      <c r="E72" s="1741">
        <v>97</v>
      </c>
      <c r="F72" s="1435"/>
      <c r="G72" s="1435"/>
      <c r="H72" s="1435"/>
      <c r="I72" s="1435"/>
      <c r="J72" s="1435">
        <v>3</v>
      </c>
      <c r="K72" s="1436"/>
      <c r="L72" s="1448">
        <f t="shared" si="4"/>
        <v>0.62165999999999999</v>
      </c>
    </row>
    <row r="73" spans="2:12" ht="13.5" customHeight="1" x14ac:dyDescent="0.3">
      <c r="B73" s="1759"/>
      <c r="C73" s="1432" t="str">
        <f>IF('0 Úvod'!$M$10="English",Slovnik!D524,Slovnik!C524)</f>
        <v>Dozorčí provozu - vedoucí směny</v>
      </c>
      <c r="D73" s="1745"/>
      <c r="E73" s="1741">
        <v>97</v>
      </c>
      <c r="F73" s="1435"/>
      <c r="G73" s="1435"/>
      <c r="H73" s="1435"/>
      <c r="I73" s="1435"/>
      <c r="J73" s="1435">
        <v>3</v>
      </c>
      <c r="K73" s="1436"/>
      <c r="L73" s="1448">
        <f t="shared" si="4"/>
        <v>0.62165999999999999</v>
      </c>
    </row>
    <row r="74" spans="2:12" ht="13.5" customHeight="1" x14ac:dyDescent="0.3">
      <c r="B74" s="1759"/>
      <c r="C74" s="1432" t="str">
        <f>IF('0 Úvod'!$M$10="English",Slovnik!D525,Slovnik!C525)</f>
        <v>Operátor železniční dopravy</v>
      </c>
      <c r="D74" s="1745"/>
      <c r="E74" s="1741"/>
      <c r="F74" s="1435">
        <v>97</v>
      </c>
      <c r="G74" s="1435"/>
      <c r="H74" s="1435"/>
      <c r="I74" s="1435"/>
      <c r="J74" s="1435">
        <v>3</v>
      </c>
      <c r="K74" s="1436"/>
      <c r="L74" s="1448">
        <f t="shared" si="4"/>
        <v>0.59158999999999995</v>
      </c>
    </row>
    <row r="75" spans="2:12" ht="13.5" customHeight="1" x14ac:dyDescent="0.3">
      <c r="B75" s="1759"/>
      <c r="C75" s="1432" t="str">
        <f>IF('0 Úvod'!$M$10="English",Slovnik!D526,Slovnik!C526)</f>
        <v>Signalista</v>
      </c>
      <c r="D75" s="1745"/>
      <c r="E75" s="1741">
        <v>97</v>
      </c>
      <c r="F75" s="1435"/>
      <c r="G75" s="1435"/>
      <c r="H75" s="1435"/>
      <c r="I75" s="1435"/>
      <c r="J75" s="1435">
        <v>3</v>
      </c>
      <c r="K75" s="1436"/>
      <c r="L75" s="1448">
        <f t="shared" si="4"/>
        <v>0.62165999999999999</v>
      </c>
    </row>
    <row r="76" spans="2:12" ht="14.25" x14ac:dyDescent="0.3">
      <c r="B76" s="1759"/>
      <c r="C76" s="1432" t="str">
        <f>IF('0 Úvod'!$M$10="English",Slovnik!D527,Slovnik!C527)</f>
        <v>Výhybkář</v>
      </c>
      <c r="D76" s="1745"/>
      <c r="E76" s="1741"/>
      <c r="F76" s="1435">
        <v>97</v>
      </c>
      <c r="G76" s="1435"/>
      <c r="H76" s="1435"/>
      <c r="I76" s="1435"/>
      <c r="J76" s="1435">
        <v>3</v>
      </c>
      <c r="K76" s="1436"/>
      <c r="L76" s="1448">
        <f t="shared" si="4"/>
        <v>0.59158999999999995</v>
      </c>
    </row>
    <row r="77" spans="2:12" ht="14.25" x14ac:dyDescent="0.3">
      <c r="B77" s="1759"/>
      <c r="C77" s="1432" t="str">
        <f>IF('0 Úvod'!$M$10="English",Slovnik!D528,Slovnik!C528)</f>
        <v>Staniční dozorce</v>
      </c>
      <c r="D77" s="1745"/>
      <c r="E77" s="1741"/>
      <c r="F77" s="1435">
        <v>97</v>
      </c>
      <c r="G77" s="1435"/>
      <c r="H77" s="1435"/>
      <c r="I77" s="1435"/>
      <c r="J77" s="1435">
        <v>3</v>
      </c>
      <c r="K77" s="1436"/>
      <c r="L77" s="1448">
        <f t="shared" si="4"/>
        <v>0.59158999999999995</v>
      </c>
    </row>
    <row r="78" spans="2:12" ht="14.25" x14ac:dyDescent="0.3">
      <c r="B78" s="1759"/>
      <c r="C78" s="1432" t="str">
        <f>IF('0 Úvod'!$M$10="English",Slovnik!D529,Slovnik!C529)</f>
        <v>Dozorce výhybek</v>
      </c>
      <c r="D78" s="1745"/>
      <c r="E78" s="1741"/>
      <c r="F78" s="1435">
        <v>97</v>
      </c>
      <c r="G78" s="1435"/>
      <c r="H78" s="1435"/>
      <c r="I78" s="1435"/>
      <c r="J78" s="1435">
        <v>3</v>
      </c>
      <c r="K78" s="1436"/>
      <c r="L78" s="1448">
        <f t="shared" si="4"/>
        <v>0.59158999999999995</v>
      </c>
    </row>
    <row r="79" spans="2:12" ht="14.25" x14ac:dyDescent="0.3">
      <c r="B79" s="1759"/>
      <c r="C79" s="1432" t="str">
        <f>IF('0 Úvod'!$M$10="English",Slovnik!D530,Slovnik!C530)</f>
        <v>Závorář</v>
      </c>
      <c r="D79" s="1745"/>
      <c r="E79" s="1741"/>
      <c r="F79" s="1435">
        <v>97</v>
      </c>
      <c r="G79" s="1435"/>
      <c r="H79" s="1435"/>
      <c r="I79" s="1435"/>
      <c r="J79" s="1435">
        <v>3</v>
      </c>
      <c r="K79" s="1436"/>
      <c r="L79" s="1448">
        <f t="shared" si="4"/>
        <v>0.59158999999999995</v>
      </c>
    </row>
    <row r="80" spans="2:12" ht="14.25" x14ac:dyDescent="0.3">
      <c r="B80" s="1759"/>
      <c r="C80" s="1432" t="str">
        <f>IF('0 Úvod'!$M$10="English",Slovnik!D531,Slovnik!C531)</f>
        <v>Závorář s prodejem jízdenek</v>
      </c>
      <c r="D80" s="1745"/>
      <c r="E80" s="1741"/>
      <c r="F80" s="1435">
        <v>97</v>
      </c>
      <c r="G80" s="1435"/>
      <c r="H80" s="1435"/>
      <c r="I80" s="1435"/>
      <c r="J80" s="1435">
        <v>3</v>
      </c>
      <c r="K80" s="1436"/>
      <c r="L80" s="1448">
        <f t="shared" si="4"/>
        <v>0.59158999999999995</v>
      </c>
    </row>
    <row r="81" spans="2:12" ht="14.25" x14ac:dyDescent="0.3">
      <c r="B81" s="1759"/>
      <c r="C81" s="1432" t="str">
        <f>IF('0 Úvod'!$M$10="English",Slovnik!D532,Slovnik!C532)</f>
        <v>Hradlař-hláskař</v>
      </c>
      <c r="D81" s="1745"/>
      <c r="E81" s="1741"/>
      <c r="F81" s="1435">
        <v>97</v>
      </c>
      <c r="G81" s="1435"/>
      <c r="H81" s="1435"/>
      <c r="I81" s="1435"/>
      <c r="J81" s="1435">
        <v>3</v>
      </c>
      <c r="K81" s="1436"/>
      <c r="L81" s="1448">
        <f t="shared" si="4"/>
        <v>0.59158999999999995</v>
      </c>
    </row>
    <row r="82" spans="2:12" ht="14.25" x14ac:dyDescent="0.3">
      <c r="B82" s="1759"/>
      <c r="C82" s="1432" t="str">
        <f>IF('0 Úvod'!$M$10="English",Slovnik!D533,Slovnik!C533)</f>
        <v>Hradlař-hláskař s prodejem jízdenek</v>
      </c>
      <c r="D82" s="1745"/>
      <c r="E82" s="1741"/>
      <c r="F82" s="1435">
        <v>97</v>
      </c>
      <c r="G82" s="1435"/>
      <c r="H82" s="1435"/>
      <c r="I82" s="1435"/>
      <c r="J82" s="1435">
        <v>3</v>
      </c>
      <c r="K82" s="1436"/>
      <c r="L82" s="1448">
        <f t="shared" si="4"/>
        <v>0.59158999999999995</v>
      </c>
    </row>
    <row r="83" spans="2:12" ht="15" thickBot="1" x14ac:dyDescent="0.35">
      <c r="B83" s="1759"/>
      <c r="C83" s="1432" t="str">
        <f>IF('0 Úvod'!$M$10="English",Slovnik!D534,Slovnik!C534)</f>
        <v>Dělník v dopravě - staniční dělník</v>
      </c>
      <c r="D83" s="1745"/>
      <c r="E83" s="1741"/>
      <c r="F83" s="1435">
        <v>97</v>
      </c>
      <c r="G83" s="1435"/>
      <c r="H83" s="1435"/>
      <c r="I83" s="1435"/>
      <c r="J83" s="1435">
        <v>3</v>
      </c>
      <c r="K83" s="1436"/>
      <c r="L83" s="1448">
        <f t="shared" si="4"/>
        <v>0.59158999999999995</v>
      </c>
    </row>
    <row r="84" spans="2:12" ht="13.5" customHeight="1" thickBot="1" x14ac:dyDescent="0.3">
      <c r="B84" s="2615" t="str">
        <f>IF('0 Úvod'!$M$10="English",Slovnik!$D$535,Slovnik!$C$535)</f>
        <v>provozní NÁKLADY VLAKŮ</v>
      </c>
      <c r="C84" s="2616"/>
      <c r="D84" s="2616"/>
      <c r="E84" s="2616"/>
      <c r="F84" s="2616"/>
      <c r="G84" s="2616"/>
      <c r="H84" s="2616"/>
      <c r="I84" s="2616"/>
      <c r="J84" s="2616"/>
      <c r="K84" s="2616"/>
      <c r="L84" s="2617"/>
    </row>
    <row r="85" spans="2:12" ht="14.25" x14ac:dyDescent="0.3">
      <c r="B85" s="1759"/>
      <c r="C85" s="1432" t="str">
        <f>IF('0 Úvod'!$M$10="English",Slovnik!D536,Slovnik!C536)</f>
        <v>Náklady na pořízení vozidel</v>
      </c>
      <c r="D85" s="1744"/>
      <c r="E85" s="1741">
        <v>15</v>
      </c>
      <c r="F85" s="1435">
        <v>5</v>
      </c>
      <c r="G85" s="1435">
        <v>15</v>
      </c>
      <c r="H85" s="1435"/>
      <c r="I85" s="1435">
        <v>65</v>
      </c>
      <c r="J85" s="1435"/>
      <c r="K85" s="1436"/>
      <c r="L85" s="1448">
        <f t="shared" ref="L85:L90" si="5">E85/100*$E$115+F85/100*$E$116+G85/100*$E$117+H85/100*$E$118+I85/100*$E$119+J85/100*$E$120+K85/100*$E$121</f>
        <v>0.90610000000000002</v>
      </c>
    </row>
    <row r="86" spans="2:12" ht="14.25" x14ac:dyDescent="0.3">
      <c r="B86" s="1759"/>
      <c r="C86" s="1432" t="str">
        <f>IF('0 Úvod'!$M$10="English",Slovnik!D537,Slovnik!C537)</f>
        <v>Náklady na údržbu a opravy vozidel</v>
      </c>
      <c r="D86" s="1745"/>
      <c r="E86" s="1741">
        <v>35</v>
      </c>
      <c r="F86" s="1435">
        <v>30</v>
      </c>
      <c r="G86" s="1435">
        <v>25</v>
      </c>
      <c r="H86" s="1435"/>
      <c r="I86" s="1435">
        <v>10</v>
      </c>
      <c r="J86" s="1435"/>
      <c r="K86" s="1436"/>
      <c r="L86" s="1448">
        <f t="shared" si="5"/>
        <v>0.73354999999999992</v>
      </c>
    </row>
    <row r="87" spans="2:12" ht="14.25" x14ac:dyDescent="0.3">
      <c r="B87" s="1759"/>
      <c r="C87" s="1432" t="str">
        <f>IF('0 Úvod'!$M$10="English",Slovnik!D538,Slovnik!C538)</f>
        <v>Náklady na energii</v>
      </c>
      <c r="D87" s="1745"/>
      <c r="E87" s="1741"/>
      <c r="F87" s="1435"/>
      <c r="G87" s="1435"/>
      <c r="H87" s="1435"/>
      <c r="I87" s="1435"/>
      <c r="J87" s="1435">
        <v>100</v>
      </c>
      <c r="K87" s="1436"/>
      <c r="L87" s="1448">
        <f t="shared" si="5"/>
        <v>0.83700000000000008</v>
      </c>
    </row>
    <row r="88" spans="2:12" ht="14.25" x14ac:dyDescent="0.3">
      <c r="B88" s="1759"/>
      <c r="C88" s="1432" t="str">
        <f>IF('0 Úvod'!$M$10="English",Slovnik!D539,Slovnik!C539)</f>
        <v>Náklady na mzdy</v>
      </c>
      <c r="D88" s="1745"/>
      <c r="E88" s="1741">
        <v>70</v>
      </c>
      <c r="F88" s="1435">
        <v>30</v>
      </c>
      <c r="G88" s="1435"/>
      <c r="H88" s="1435"/>
      <c r="I88" s="1435"/>
      <c r="J88" s="1435"/>
      <c r="K88" s="1436"/>
      <c r="L88" s="1448">
        <f t="shared" si="5"/>
        <v>0.60570000000000002</v>
      </c>
    </row>
    <row r="89" spans="2:12" ht="14.25" x14ac:dyDescent="0.3">
      <c r="B89" s="1759"/>
      <c r="C89" s="1432" t="str">
        <f>IF('0 Úvod'!$M$10="English",Slovnik!D540,Slovnik!C540)</f>
        <v>Náklady na správu a režii</v>
      </c>
      <c r="D89" s="1745"/>
      <c r="E89" s="1741">
        <v>40</v>
      </c>
      <c r="F89" s="1435">
        <v>40</v>
      </c>
      <c r="G89" s="1435">
        <v>10</v>
      </c>
      <c r="H89" s="1435"/>
      <c r="I89" s="1435"/>
      <c r="J89" s="1435">
        <v>10</v>
      </c>
      <c r="K89" s="1436"/>
      <c r="L89" s="1448">
        <f t="shared" si="5"/>
        <v>0.6613</v>
      </c>
    </row>
    <row r="90" spans="2:12" ht="15" thickBot="1" x14ac:dyDescent="0.35">
      <c r="B90" s="1759"/>
      <c r="C90" s="1432" t="str">
        <f>IF('0 Úvod'!$M$10="English",Slovnik!D541,Slovnik!C541)</f>
        <v>Jiné neuvedené náklady</v>
      </c>
      <c r="D90" s="1745"/>
      <c r="E90" s="1741">
        <v>40</v>
      </c>
      <c r="F90" s="1435">
        <v>40</v>
      </c>
      <c r="G90" s="1435">
        <v>10</v>
      </c>
      <c r="H90" s="1435"/>
      <c r="I90" s="1435"/>
      <c r="J90" s="1435">
        <v>10</v>
      </c>
      <c r="K90" s="1436"/>
      <c r="L90" s="1448">
        <f t="shared" si="5"/>
        <v>0.6613</v>
      </c>
    </row>
    <row r="91" spans="2:12" ht="13.5" customHeight="1" thickBot="1" x14ac:dyDescent="0.3">
      <c r="B91" s="2612" t="str">
        <f>B23</f>
        <v>SILNIČNÍ INFRASTRUKTURA</v>
      </c>
      <c r="C91" s="2613"/>
      <c r="D91" s="2613"/>
      <c r="E91" s="2613"/>
      <c r="F91" s="2613"/>
      <c r="G91" s="2613"/>
      <c r="H91" s="2613"/>
      <c r="I91" s="2613"/>
      <c r="J91" s="2613"/>
      <c r="K91" s="2613"/>
      <c r="L91" s="2614"/>
    </row>
    <row r="92" spans="2:12" ht="13.5" customHeight="1" thickBot="1" x14ac:dyDescent="0.3">
      <c r="B92" s="2615" t="str">
        <f>B58</f>
        <v>provozuschopnost - OPRAVY A ÚDRŽBA</v>
      </c>
      <c r="C92" s="2616"/>
      <c r="D92" s="2616"/>
      <c r="E92" s="2616"/>
      <c r="F92" s="2616"/>
      <c r="G92" s="2616"/>
      <c r="H92" s="2616"/>
      <c r="I92" s="2616"/>
      <c r="J92" s="2616"/>
      <c r="K92" s="2616"/>
      <c r="L92" s="2617"/>
    </row>
    <row r="93" spans="2:12" ht="13.5" customHeight="1" x14ac:dyDescent="0.3">
      <c r="B93" s="1757"/>
      <c r="C93" s="1755" t="str">
        <f>IF('0 Úvod'!$M$10="English",Slovnik!D542,Slovnik!C542)</f>
        <v>Silnice</v>
      </c>
      <c r="D93" s="1744"/>
      <c r="E93" s="1756"/>
      <c r="F93" s="1442">
        <v>40</v>
      </c>
      <c r="G93" s="1442"/>
      <c r="H93" s="1442">
        <v>50</v>
      </c>
      <c r="I93" s="1442"/>
      <c r="J93" s="1442">
        <v>10</v>
      </c>
      <c r="K93" s="1443"/>
      <c r="L93" s="1447">
        <f>E93/100*$E$115+F93/100*$E$116+G93/100*$E$117+H93/100*$E$118+I93/100*$E$119+J93/100*$E$120+K93/100*$E$121</f>
        <v>0.80679999999999996</v>
      </c>
    </row>
    <row r="94" spans="2:12" ht="13.5" customHeight="1" x14ac:dyDescent="0.3">
      <c r="B94" s="1758"/>
      <c r="C94" s="1432" t="str">
        <f>IF('0 Úvod'!$M$10="English",Slovnik!D543,Slovnik!C543)</f>
        <v>Dálnice</v>
      </c>
      <c r="D94" s="1745"/>
      <c r="E94" s="1741"/>
      <c r="F94" s="1435">
        <v>40</v>
      </c>
      <c r="G94" s="1435"/>
      <c r="H94" s="1435">
        <v>50</v>
      </c>
      <c r="I94" s="1435"/>
      <c r="J94" s="1435">
        <v>10</v>
      </c>
      <c r="K94" s="1436"/>
      <c r="L94" s="1448">
        <f>E94/100*$E$115+F94/100*$E$116+G94/100*$E$117+H94/100*$E$118+I94/100*$E$119+J94/100*$E$120+K94/100*$E$121</f>
        <v>0.80679999999999996</v>
      </c>
    </row>
    <row r="95" spans="2:12" ht="13.5" customHeight="1" thickBot="1" x14ac:dyDescent="0.35">
      <c r="B95" s="1758"/>
      <c r="C95" s="1432" t="str">
        <f>IF('0 Úvod'!$M$10="English",Slovnik!D544,Slovnik!C544)</f>
        <v>Tunely</v>
      </c>
      <c r="D95" s="1745"/>
      <c r="E95" s="1741"/>
      <c r="F95" s="1435">
        <v>40</v>
      </c>
      <c r="G95" s="1435">
        <v>5</v>
      </c>
      <c r="H95" s="1435">
        <v>45</v>
      </c>
      <c r="I95" s="1435"/>
      <c r="J95" s="1435">
        <v>10</v>
      </c>
      <c r="K95" s="1436"/>
      <c r="L95" s="1448">
        <f>E95/100*$E$115+F95/100*$E$116+G95/100*$E$117+H95/100*$E$118+I95/100*$E$119+J95/100*$E$120+K95/100*$E$121</f>
        <v>0.80684999999999996</v>
      </c>
    </row>
    <row r="96" spans="2:12" ht="13.5" customHeight="1" thickBot="1" x14ac:dyDescent="0.3">
      <c r="B96" s="2615" t="str">
        <f>B64</f>
        <v>provozuschopnost - REINVESTICE</v>
      </c>
      <c r="C96" s="2616"/>
      <c r="D96" s="2616"/>
      <c r="E96" s="2616"/>
      <c r="F96" s="2616"/>
      <c r="G96" s="2616"/>
      <c r="H96" s="2616"/>
      <c r="I96" s="2616"/>
      <c r="J96" s="2616"/>
      <c r="K96" s="2616"/>
      <c r="L96" s="2617"/>
    </row>
    <row r="97" spans="2:12" ht="13.5" customHeight="1" x14ac:dyDescent="0.3">
      <c r="B97" s="1758"/>
      <c r="C97" s="1432" t="str">
        <f>C93</f>
        <v>Silnice</v>
      </c>
      <c r="D97" s="1744"/>
      <c r="E97" s="1741"/>
      <c r="F97" s="1435">
        <v>30</v>
      </c>
      <c r="G97" s="1435"/>
      <c r="H97" s="1435">
        <v>60</v>
      </c>
      <c r="I97" s="1435"/>
      <c r="J97" s="1435">
        <v>10</v>
      </c>
      <c r="K97" s="1436"/>
      <c r="L97" s="1448">
        <f>E97/100*$E$115+F97/100*$E$116+G97/100*$E$117+H97/100*$E$118+I97/100*$E$119+J97/100*$E$120+K97/100*$E$121</f>
        <v>0.84629999999999994</v>
      </c>
    </row>
    <row r="98" spans="2:12" ht="13.5" customHeight="1" x14ac:dyDescent="0.3">
      <c r="B98" s="1758"/>
      <c r="C98" s="1432" t="str">
        <f t="shared" ref="C98:C99" si="6">C94</f>
        <v>Dálnice</v>
      </c>
      <c r="D98" s="1745"/>
      <c r="E98" s="1741"/>
      <c r="F98" s="1435">
        <v>30</v>
      </c>
      <c r="G98" s="1435"/>
      <c r="H98" s="1435">
        <v>60</v>
      </c>
      <c r="I98" s="1435"/>
      <c r="J98" s="1435">
        <v>10</v>
      </c>
      <c r="K98" s="1436"/>
      <c r="L98" s="1448">
        <f>E98/100*$E$115+F98/100*$E$116+G98/100*$E$117+H98/100*$E$118+I98/100*$E$119+J98/100*$E$120+K98/100*$E$121</f>
        <v>0.84629999999999994</v>
      </c>
    </row>
    <row r="99" spans="2:12" ht="13.5" customHeight="1" thickBot="1" x14ac:dyDescent="0.35">
      <c r="B99" s="1758"/>
      <c r="C99" s="1432" t="str">
        <f t="shared" si="6"/>
        <v>Tunely</v>
      </c>
      <c r="D99" s="1745"/>
      <c r="E99" s="1741"/>
      <c r="F99" s="1435">
        <v>30</v>
      </c>
      <c r="G99" s="1435">
        <v>5</v>
      </c>
      <c r="H99" s="1435">
        <v>55</v>
      </c>
      <c r="I99" s="1435"/>
      <c r="J99" s="1435">
        <v>10</v>
      </c>
      <c r="K99" s="1436"/>
      <c r="L99" s="1448">
        <f>E99/100*$E$115+F99/100*$E$116+G99/100*$E$117+H99/100*$E$118+I99/100*$E$119+J99/100*$E$120+K99/100*$E$121</f>
        <v>0.84635000000000005</v>
      </c>
    </row>
    <row r="100" spans="2:12" ht="13.5" customHeight="1" thickBot="1" x14ac:dyDescent="0.3">
      <c r="B100" s="2612" t="str">
        <f>B36</f>
        <v>VODNÍ INFRASTRUKTURA</v>
      </c>
      <c r="C100" s="2613"/>
      <c r="D100" s="2613"/>
      <c r="E100" s="2613"/>
      <c r="F100" s="2613"/>
      <c r="G100" s="2613"/>
      <c r="H100" s="2613"/>
      <c r="I100" s="2613"/>
      <c r="J100" s="2613"/>
      <c r="K100" s="2613"/>
      <c r="L100" s="2614"/>
    </row>
    <row r="101" spans="2:12" ht="13.5" customHeight="1" thickBot="1" x14ac:dyDescent="0.3">
      <c r="B101" s="2615" t="str">
        <f>B92</f>
        <v>provozuschopnost - OPRAVY A ÚDRŽBA</v>
      </c>
      <c r="C101" s="2616"/>
      <c r="D101" s="2616"/>
      <c r="E101" s="2616"/>
      <c r="F101" s="2616"/>
      <c r="G101" s="2616"/>
      <c r="H101" s="2616"/>
      <c r="I101" s="2616"/>
      <c r="J101" s="2616"/>
      <c r="K101" s="2616"/>
      <c r="L101" s="2617"/>
    </row>
    <row r="102" spans="2:12" ht="15" thickBot="1" x14ac:dyDescent="0.35">
      <c r="B102" s="1757"/>
      <c r="C102" s="1755" t="str">
        <f>IF('0 Úvod'!$M$10="English",Slovnik!$D$545,Slovnik!$C$545)</f>
        <v>Vodní cesta</v>
      </c>
      <c r="D102" s="1744"/>
      <c r="E102" s="1756">
        <v>20</v>
      </c>
      <c r="F102" s="1442">
        <v>25</v>
      </c>
      <c r="G102" s="1442"/>
      <c r="H102" s="1442">
        <v>25</v>
      </c>
      <c r="I102" s="1442"/>
      <c r="J102" s="1442">
        <v>30</v>
      </c>
      <c r="K102" s="1443"/>
      <c r="L102" s="1447">
        <f>E102/100*$E$115+F102/100*$E$116+G102/100*$E$117+H102/100*$E$118+I102/100*$E$119+J102/100*$E$120+K102/100*$E$121</f>
        <v>0.76485000000000003</v>
      </c>
    </row>
    <row r="103" spans="2:12" ht="13.5" customHeight="1" thickBot="1" x14ac:dyDescent="0.3">
      <c r="B103" s="2615" t="str">
        <f>B96</f>
        <v>provozuschopnost - REINVESTICE</v>
      </c>
      <c r="C103" s="2616"/>
      <c r="D103" s="2616"/>
      <c r="E103" s="2616"/>
      <c r="F103" s="2616"/>
      <c r="G103" s="2616"/>
      <c r="H103" s="2616"/>
      <c r="I103" s="2616"/>
      <c r="J103" s="2616"/>
      <c r="K103" s="2616"/>
      <c r="L103" s="2617"/>
    </row>
    <row r="104" spans="2:12" ht="13.5" customHeight="1" thickBot="1" x14ac:dyDescent="0.35">
      <c r="B104" s="1758"/>
      <c r="C104" s="1432" t="str">
        <f>IF('0 Úvod'!$M$10="English",Slovnik!$D$546,Slovnik!$C$546)</f>
        <v>Zdymadla</v>
      </c>
      <c r="D104" s="1744"/>
      <c r="E104" s="1741">
        <v>10</v>
      </c>
      <c r="F104" s="1435">
        <v>15</v>
      </c>
      <c r="G104" s="1435">
        <v>5</v>
      </c>
      <c r="H104" s="1435">
        <v>45</v>
      </c>
      <c r="I104" s="1435">
        <v>15</v>
      </c>
      <c r="J104" s="1435">
        <v>10</v>
      </c>
      <c r="K104" s="1436"/>
      <c r="L104" s="1448">
        <f>E104/100*$E$115+F104/100*$E$116+G104/100*$E$117+H104/100*$E$118+I104/100*$E$119+J104/100*$E$120+K104/100*$E$121</f>
        <v>0.86949999999999994</v>
      </c>
    </row>
    <row r="105" spans="2:12" ht="13.5" customHeight="1" thickBot="1" x14ac:dyDescent="0.3">
      <c r="B105" s="2615" t="str">
        <f>IF('0 Úvod'!$M$10="English",Slovnik!$D$547,Slovnik!$C$547)</f>
        <v>provozní NÁKLADY VLAKŮ</v>
      </c>
      <c r="C105" s="2616"/>
      <c r="D105" s="2616"/>
      <c r="E105" s="2616"/>
      <c r="F105" s="2616"/>
      <c r="G105" s="2616"/>
      <c r="H105" s="2616"/>
      <c r="I105" s="2616"/>
      <c r="J105" s="2616"/>
      <c r="K105" s="2616"/>
      <c r="L105" s="2617"/>
    </row>
    <row r="106" spans="2:12" ht="14.25" x14ac:dyDescent="0.3">
      <c r="B106" s="1760"/>
      <c r="C106" s="1755" t="str">
        <f>IF('0 Úvod'!$M$10="English",Slovnik!D548,Slovnik!C548)</f>
        <v>Náklady na pořízení plavidel</v>
      </c>
      <c r="D106" s="1744"/>
      <c r="E106" s="1756">
        <v>10</v>
      </c>
      <c r="F106" s="1442">
        <v>5</v>
      </c>
      <c r="G106" s="1442">
        <v>15</v>
      </c>
      <c r="H106" s="1442"/>
      <c r="I106" s="1442">
        <v>70</v>
      </c>
      <c r="J106" s="1442"/>
      <c r="K106" s="1443"/>
      <c r="L106" s="1447">
        <f>E106/100*$E$115+F106/100*$E$116+G106/100*$E$117+H106/100*$E$118+I106/100*$E$119+J106/100*$E$120+K106/100*$E$121</f>
        <v>0.9244</v>
      </c>
    </row>
    <row r="107" spans="2:12" ht="14.25" x14ac:dyDescent="0.3">
      <c r="B107" s="1759"/>
      <c r="C107" s="1432" t="str">
        <f>IF('0 Úvod'!$M$10="English",Slovnik!D549,Slovnik!C549)</f>
        <v>Náklady na údržbu a opravy plavidel</v>
      </c>
      <c r="D107" s="1745"/>
      <c r="E107" s="1741">
        <v>40</v>
      </c>
      <c r="F107" s="1435">
        <v>35</v>
      </c>
      <c r="G107" s="1435">
        <v>15</v>
      </c>
      <c r="H107" s="1435"/>
      <c r="I107" s="1435">
        <v>10</v>
      </c>
      <c r="J107" s="1435"/>
      <c r="K107" s="1436"/>
      <c r="L107" s="1448">
        <f>E107/100*$E$115+F107/100*$E$116+G107/100*$E$117+H107/100*$E$118+I107/100*$E$119+J107/100*$E$120+K107/100*$E$121</f>
        <v>0.6954999999999999</v>
      </c>
    </row>
    <row r="108" spans="2:12" ht="14.25" x14ac:dyDescent="0.3">
      <c r="B108" s="1759"/>
      <c r="C108" s="1432" t="str">
        <f>IF('0 Úvod'!$M$10="English",Slovnik!D550,Slovnik!C550)</f>
        <v>Náklady na energii</v>
      </c>
      <c r="D108" s="1745"/>
      <c r="E108" s="1741"/>
      <c r="F108" s="1435"/>
      <c r="G108" s="1435"/>
      <c r="H108" s="1435"/>
      <c r="I108" s="1435"/>
      <c r="J108" s="1435">
        <v>100</v>
      </c>
      <c r="K108" s="1436"/>
      <c r="L108" s="1448">
        <f>E108/100*$E$115+F108/100*$E$116+G108/100*$E$117+H108/100*$E$118+I108/100*$E$119+J108/100*$E$120+K108/100*$E$121</f>
        <v>0.83700000000000008</v>
      </c>
    </row>
    <row r="109" spans="2:12" ht="14.25" x14ac:dyDescent="0.3">
      <c r="B109" s="1759"/>
      <c r="C109" s="1432" t="str">
        <f>IF('0 Úvod'!$M$10="English",Slovnik!D551,Slovnik!C551)</f>
        <v>Náklady na mzdy</v>
      </c>
      <c r="D109" s="1745"/>
      <c r="E109" s="1741">
        <v>70</v>
      </c>
      <c r="F109" s="1435">
        <v>30</v>
      </c>
      <c r="G109" s="1435"/>
      <c r="H109" s="1435"/>
      <c r="I109" s="1435"/>
      <c r="J109" s="1435"/>
      <c r="K109" s="1436"/>
      <c r="L109" s="1448">
        <f>E109/100*$E$115+F109/100*$E$116+G109/100*$E$117+H109/100*$E$118+I109/100*$E$119+J109/100*$E$120+K109/100*$E$121</f>
        <v>0.60570000000000002</v>
      </c>
    </row>
    <row r="110" spans="2:12" ht="15" thickBot="1" x14ac:dyDescent="0.35">
      <c r="B110" s="1761"/>
      <c r="C110" s="1750" t="str">
        <f>IF('0 Úvod'!$M$10="English",Slovnik!D552,Slovnik!C552)</f>
        <v>Náklady na správu a režii</v>
      </c>
      <c r="D110" s="1747"/>
      <c r="E110" s="1751">
        <v>40</v>
      </c>
      <c r="F110" s="1752">
        <v>40</v>
      </c>
      <c r="G110" s="1752">
        <v>10</v>
      </c>
      <c r="H110" s="1752"/>
      <c r="I110" s="1752"/>
      <c r="J110" s="1752">
        <v>10</v>
      </c>
      <c r="K110" s="1753"/>
      <c r="L110" s="1754">
        <f>E110/100*$E$115+F110/100*$E$116+G110/100*$E$117+H110/100*$E$118+I110/100*$E$119+J110/100*$E$120+K110/100*$E$121</f>
        <v>0.6613</v>
      </c>
    </row>
    <row r="111" spans="2:12" x14ac:dyDescent="0.25">
      <c r="F111" s="97"/>
      <c r="G111" s="97"/>
      <c r="H111" s="97"/>
      <c r="I111" s="97"/>
      <c r="J111" s="97"/>
      <c r="K111" s="97"/>
      <c r="L111" s="97"/>
    </row>
    <row r="112" spans="2:12" ht="14.25" thickBot="1" x14ac:dyDescent="0.3">
      <c r="F112" s="97"/>
      <c r="G112" s="97"/>
      <c r="H112" s="97"/>
      <c r="I112" s="97"/>
      <c r="J112" s="97"/>
      <c r="K112" s="97"/>
      <c r="L112" s="97"/>
    </row>
    <row r="113" spans="2:12" ht="14.25" thickBot="1" x14ac:dyDescent="0.3">
      <c r="B113" s="2640" t="str">
        <f>IF('0 Úvod'!$M$10="English",Slovnik!$D$553,Slovnik!$C$553)</f>
        <v>ZÁKLADNÍ HODNOTY KF JEDNOTLIVÝCH NÁKLADOVÝCH SLOŽEK</v>
      </c>
      <c r="C113" s="2641"/>
      <c r="D113" s="2641"/>
      <c r="E113" s="2642"/>
      <c r="F113" s="97"/>
      <c r="G113" s="97"/>
      <c r="H113" s="97"/>
      <c r="I113" s="97"/>
      <c r="J113" s="97"/>
      <c r="K113" s="97"/>
      <c r="L113" s="97"/>
    </row>
    <row r="114" spans="2:12" ht="15.75" customHeight="1" thickBot="1" x14ac:dyDescent="0.3">
      <c r="B114" s="2643" t="str">
        <f>IF('0 Úvod'!$M$10="English",Slovnik!D554,Slovnik!C554)</f>
        <v>nákladová složka</v>
      </c>
      <c r="C114" s="2644"/>
      <c r="D114" s="2645"/>
      <c r="E114" s="1450" t="str">
        <f>IF('0 Úvod'!$M$10="English",Slovnik!$D$567,Slovnik!$C$567)</f>
        <v>KF</v>
      </c>
      <c r="F114" s="97"/>
      <c r="G114" s="97"/>
      <c r="H114" s="97"/>
      <c r="I114" s="97"/>
      <c r="J114" s="97"/>
      <c r="K114" s="97"/>
      <c r="L114" s="97"/>
    </row>
    <row r="115" spans="2:12" x14ac:dyDescent="0.25">
      <c r="B115" s="1451" t="str">
        <f>IF('0 Úvod'!$M$10="English",Slovnik!D555,Slovnik!C555)</f>
        <v>PRÁCE - kvalifikovaná</v>
      </c>
      <c r="C115" s="1452"/>
      <c r="D115" s="1453"/>
      <c r="E115" s="1454">
        <v>0.61499999999999999</v>
      </c>
      <c r="F115" s="97"/>
      <c r="G115" s="97"/>
      <c r="H115" s="97"/>
      <c r="I115" s="97"/>
      <c r="J115" s="97"/>
      <c r="K115" s="97"/>
      <c r="L115" s="97"/>
    </row>
    <row r="116" spans="2:12" x14ac:dyDescent="0.25">
      <c r="B116" s="1455" t="str">
        <f>IF('0 Úvod'!$M$10="English",Slovnik!D556,Slovnik!C556)</f>
        <v>PRÁCE - nekvalifikovaná</v>
      </c>
      <c r="C116" s="1456"/>
      <c r="D116" s="1457"/>
      <c r="E116" s="1458">
        <v>0.58399999999999996</v>
      </c>
      <c r="F116" s="97"/>
      <c r="G116" s="97"/>
      <c r="H116" s="97"/>
      <c r="I116" s="97"/>
      <c r="J116" s="97"/>
      <c r="K116" s="97"/>
      <c r="L116" s="97"/>
    </row>
    <row r="117" spans="2:12" x14ac:dyDescent="0.25">
      <c r="B117" s="1455" t="str">
        <f>IF('0 Úvod'!$M$10="English",Slovnik!D557,Slovnik!C557)</f>
        <v>MATERIÁL - informační technologie</v>
      </c>
      <c r="C117" s="1456"/>
      <c r="D117" s="1457"/>
      <c r="E117" s="1458">
        <v>0.98</v>
      </c>
      <c r="F117" s="97"/>
      <c r="G117" s="97"/>
      <c r="H117" s="97"/>
      <c r="I117" s="97"/>
      <c r="J117" s="97"/>
      <c r="K117" s="97"/>
      <c r="L117" s="97"/>
    </row>
    <row r="118" spans="2:12" x14ac:dyDescent="0.25">
      <c r="B118" s="1455" t="str">
        <f>IF('0 Úvod'!$M$10="English",Slovnik!D558,Slovnik!C558)</f>
        <v>MATERIÁL - stavební sypké hmoty (vč. betonu)</v>
      </c>
      <c r="C118" s="1456"/>
      <c r="D118" s="1457"/>
      <c r="E118" s="1458">
        <v>0.97899999999999998</v>
      </c>
      <c r="F118" s="97"/>
      <c r="G118" s="97"/>
      <c r="H118" s="97"/>
      <c r="I118" s="97"/>
      <c r="J118" s="97"/>
      <c r="K118" s="97"/>
      <c r="L118" s="97"/>
    </row>
    <row r="119" spans="2:12" x14ac:dyDescent="0.25">
      <c r="B119" s="1455" t="str">
        <f>IF('0 Úvod'!$M$10="English",Slovnik!D559,Slovnik!C559)</f>
        <v>MATERIÁL - konstrukce</v>
      </c>
      <c r="C119" s="1456"/>
      <c r="D119" s="1457"/>
      <c r="E119" s="1458">
        <v>0.98099999999999998</v>
      </c>
      <c r="F119" s="97"/>
      <c r="G119" s="97"/>
      <c r="H119" s="97"/>
      <c r="I119" s="97"/>
      <c r="J119" s="97"/>
      <c r="K119" s="97"/>
      <c r="L119" s="97"/>
    </row>
    <row r="120" spans="2:12" x14ac:dyDescent="0.25">
      <c r="B120" s="1455" t="str">
        <f>IF('0 Úvod'!$M$10="English",Slovnik!D560,Slovnik!C560)</f>
        <v>ENERGIE A POHONNÉ HMOTY</v>
      </c>
      <c r="C120" s="1456"/>
      <c r="D120" s="1457"/>
      <c r="E120" s="1458">
        <v>0.83700000000000008</v>
      </c>
      <c r="F120" s="97"/>
      <c r="G120" s="97"/>
      <c r="H120" s="97"/>
      <c r="I120" s="97"/>
      <c r="J120" s="97"/>
      <c r="K120" s="97"/>
      <c r="L120" s="97"/>
    </row>
    <row r="121" spans="2:12" x14ac:dyDescent="0.25">
      <c r="B121" s="1455" t="str">
        <f>IF('0 Úvod'!$M$10="English",Slovnik!D561,Slovnik!C561)</f>
        <v>POZEMKY</v>
      </c>
      <c r="C121" s="1456"/>
      <c r="D121" s="1457"/>
      <c r="E121" s="1458">
        <v>0.16222826086956521</v>
      </c>
      <c r="F121" s="97"/>
      <c r="G121" s="97"/>
      <c r="H121" s="97"/>
      <c r="I121" s="97"/>
      <c r="J121" s="97"/>
      <c r="K121" s="97"/>
      <c r="L121" s="97"/>
    </row>
    <row r="122" spans="2:12" ht="14.25" thickBot="1" x14ac:dyDescent="0.3">
      <c r="B122" s="1459" t="str">
        <f>IF('0 Úvod'!$M$10="English",Slovnik!D562,Slovnik!C562)</f>
        <v>Ostatní (SKF)</v>
      </c>
      <c r="C122" s="1460"/>
      <c r="D122" s="1461"/>
      <c r="E122" s="1462">
        <v>0.998</v>
      </c>
      <c r="F122" s="97"/>
      <c r="G122" s="97"/>
      <c r="H122" s="97"/>
      <c r="I122" s="97"/>
      <c r="J122" s="97"/>
      <c r="K122" s="97"/>
      <c r="L122" s="97"/>
    </row>
    <row r="123" spans="2:12" x14ac:dyDescent="0.25">
      <c r="B123" s="2618" t="str">
        <f>IF('0 Úvod'!$M$10="English",Slovnik!$D$563,Slovnik!$C$563)</f>
        <v>Zisková MARŽE</v>
      </c>
      <c r="C123" s="2619"/>
      <c r="D123" s="1463" t="str">
        <f>IF('0 Úvod'!$M$10="English",Slovnik!D564,Slovnik!C564)</f>
        <v>stavební práce (IN)</v>
      </c>
      <c r="E123" s="1464">
        <v>0.06</v>
      </c>
      <c r="F123" s="97"/>
      <c r="G123" s="97"/>
      <c r="H123" s="97"/>
      <c r="I123" s="97"/>
      <c r="J123" s="97"/>
      <c r="K123" s="97"/>
      <c r="L123" s="97"/>
    </row>
    <row r="124" spans="2:12" x14ac:dyDescent="0.25">
      <c r="B124" s="2620"/>
      <c r="C124" s="2621"/>
      <c r="D124" s="1465" t="str">
        <f>IF('0 Úvod'!$M$10="English",Slovnik!D565,Slovnik!C565)</f>
        <v>informační technologie</v>
      </c>
      <c r="E124" s="1464">
        <v>0.05</v>
      </c>
      <c r="F124" s="97"/>
      <c r="G124" s="97"/>
      <c r="H124" s="97"/>
      <c r="I124" s="97"/>
      <c r="J124" s="97"/>
      <c r="K124" s="97"/>
      <c r="L124" s="97"/>
    </row>
    <row r="125" spans="2:12" ht="14.25" thickBot="1" x14ac:dyDescent="0.3">
      <c r="B125" s="2622"/>
      <c r="C125" s="2623"/>
      <c r="D125" s="1466" t="str">
        <f>IF('0 Úvod'!$M$10="English",Slovnik!D566,Slovnik!C566)</f>
        <v>údržbové práce</v>
      </c>
      <c r="E125" s="1467">
        <v>0.02</v>
      </c>
      <c r="F125" s="97"/>
      <c r="G125" s="97"/>
      <c r="H125" s="97"/>
      <c r="I125" s="97"/>
      <c r="J125" s="97"/>
      <c r="K125" s="97"/>
      <c r="L125" s="97"/>
    </row>
    <row r="126" spans="2:12" x14ac:dyDescent="0.25">
      <c r="F126" s="97"/>
      <c r="G126" s="97"/>
      <c r="H126" s="97"/>
      <c r="I126" s="97"/>
      <c r="J126" s="97"/>
      <c r="K126" s="97"/>
      <c r="L126" s="97"/>
    </row>
    <row r="127" spans="2:12" ht="14.25" thickBot="1" x14ac:dyDescent="0.3">
      <c r="F127" s="97"/>
      <c r="G127" s="97"/>
      <c r="H127" s="97"/>
      <c r="I127" s="97"/>
      <c r="J127" s="97"/>
      <c r="K127" s="97"/>
      <c r="L127" s="97"/>
    </row>
    <row r="128" spans="2:12" ht="13.5" customHeight="1" x14ac:dyDescent="0.25">
      <c r="B128" s="2605" t="s">
        <v>267</v>
      </c>
      <c r="C128" s="2592" t="str">
        <f>IF('0 Úvod'!$M$10="English",Slovnik!$D$568,Slovnik!$C$568)</f>
        <v>Konverzní faktor -VÝSLEDNÁ HODNOTA</v>
      </c>
      <c r="D128" s="2593"/>
      <c r="E128" s="2594"/>
      <c r="F128" s="2138"/>
      <c r="G128" s="2139"/>
      <c r="H128" s="2139"/>
      <c r="I128" s="2139"/>
      <c r="J128" s="2139"/>
      <c r="K128" s="2139"/>
      <c r="L128" s="2140"/>
    </row>
    <row r="129" spans="2:12" ht="13.5" customHeight="1" x14ac:dyDescent="0.25">
      <c r="B129" s="2606"/>
      <c r="C129" s="2595"/>
      <c r="D129" s="2596"/>
      <c r="E129" s="2597"/>
      <c r="F129" s="2138"/>
      <c r="G129" s="2139"/>
      <c r="H129" s="2139"/>
      <c r="I129" s="2139"/>
      <c r="J129" s="2141"/>
      <c r="K129" s="2141"/>
      <c r="L129" s="2140"/>
    </row>
    <row r="130" spans="2:12" ht="13.5" customHeight="1" thickBot="1" x14ac:dyDescent="0.3">
      <c r="B130" s="2607"/>
      <c r="C130" s="2598"/>
      <c r="D130" s="2599"/>
      <c r="E130" s="2600"/>
      <c r="F130" s="2142"/>
      <c r="G130" s="2141"/>
      <c r="H130" s="2141"/>
      <c r="I130" s="2141"/>
      <c r="J130" s="2141"/>
      <c r="K130" s="2141"/>
      <c r="L130" s="2140"/>
    </row>
    <row r="131" spans="2:12" ht="15.75" thickBot="1" x14ac:dyDescent="0.3">
      <c r="B131" s="1444"/>
      <c r="C131" s="1445" t="str">
        <f>IF('0 Úvod'!$M$10="English",Slovnik!$D$569,Slovnik!$C$569)</f>
        <v>Položka</v>
      </c>
      <c r="D131" s="1446"/>
      <c r="E131" s="1468" t="s">
        <v>139</v>
      </c>
      <c r="F131" s="2141"/>
      <c r="G131" s="2141"/>
      <c r="H131" s="2141"/>
      <c r="I131" s="2141"/>
      <c r="J131" s="2141"/>
      <c r="K131" s="2141"/>
      <c r="L131" s="2143"/>
    </row>
    <row r="132" spans="2:12" x14ac:dyDescent="0.25">
      <c r="B132" s="1474"/>
      <c r="C132" s="2603" t="str">
        <f>IF('0 Úvod'!$M$10="English",Slovnik!$D$570,Slovnik!$C$570)</f>
        <v>INVESTIČNÍ NÁKLADY</v>
      </c>
      <c r="D132" s="1475" t="str">
        <f>IF('0 Úvod'!$M$10="English",Slovnik!D574,Slovnik!C574)</f>
        <v>železniční infrastruktura</v>
      </c>
      <c r="E132" s="1469">
        <v>0.80100000000000005</v>
      </c>
      <c r="F132" s="97"/>
      <c r="G132" s="97"/>
      <c r="H132" s="97"/>
      <c r="I132" s="97"/>
      <c r="J132" s="97"/>
      <c r="K132" s="97"/>
      <c r="L132" s="97"/>
    </row>
    <row r="133" spans="2:12" x14ac:dyDescent="0.25">
      <c r="B133" s="1476"/>
      <c r="C133" s="2602"/>
      <c r="D133" s="1477" t="str">
        <f>IF('0 Úvod'!$M$10="English",Slovnik!D575,Slovnik!C575)</f>
        <v>silniční infrastruktura</v>
      </c>
      <c r="E133" s="1470">
        <v>0.80700000000000005</v>
      </c>
      <c r="F133" s="97"/>
      <c r="G133" s="97"/>
      <c r="H133" s="97"/>
      <c r="I133" s="97"/>
      <c r="J133" s="97"/>
      <c r="K133" s="97"/>
      <c r="L133" s="97"/>
    </row>
    <row r="134" spans="2:12" x14ac:dyDescent="0.25">
      <c r="B134" s="1478"/>
      <c r="C134" s="2604"/>
      <c r="D134" s="1479" t="str">
        <f>IF('0 Úvod'!$M$10="English",Slovnik!D576,Slovnik!C576)</f>
        <v>vodní infrastruktura</v>
      </c>
      <c r="E134" s="1471">
        <v>0.84099999999999997</v>
      </c>
      <c r="F134" s="97"/>
      <c r="G134" s="97"/>
      <c r="H134" s="97"/>
      <c r="I134" s="97"/>
      <c r="J134" s="97"/>
      <c r="K134" s="97"/>
      <c r="L134" s="97"/>
    </row>
    <row r="135" spans="2:12" x14ac:dyDescent="0.25">
      <c r="B135" s="1476"/>
      <c r="C135" s="2601" t="str">
        <f>IF('0 Úvod'!$M$10="English",Slovnik!$D$571,Slovnik!$C$571)</f>
        <v>PROVOZNÍ NÁKLADY
železniční infrastruktura</v>
      </c>
      <c r="D135" s="1477" t="str">
        <f>IF('0 Úvod'!$M$10="English",Slovnik!D577,Slovnik!C577)</f>
        <v>opravy a údržba</v>
      </c>
      <c r="E135" s="1470">
        <v>0.79500000000000004</v>
      </c>
      <c r="F135" s="97"/>
      <c r="G135" s="97"/>
      <c r="H135" s="97"/>
      <c r="I135" s="97"/>
      <c r="J135" s="97"/>
      <c r="K135" s="97"/>
      <c r="L135" s="97"/>
    </row>
    <row r="136" spans="2:12" x14ac:dyDescent="0.25">
      <c r="B136" s="1476"/>
      <c r="C136" s="2602"/>
      <c r="D136" s="1477" t="str">
        <f>IF('0 Úvod'!$M$10="English",Slovnik!D578,Slovnik!C578)</f>
        <v>reinvestice</v>
      </c>
      <c r="E136" s="1470">
        <v>0.85599999999999998</v>
      </c>
      <c r="F136" s="97"/>
      <c r="G136" s="97"/>
      <c r="H136" s="97"/>
      <c r="I136" s="97"/>
      <c r="J136" s="97"/>
      <c r="K136" s="97"/>
      <c r="L136" s="97"/>
    </row>
    <row r="137" spans="2:12" x14ac:dyDescent="0.25">
      <c r="B137" s="1476"/>
      <c r="C137" s="2602"/>
      <c r="D137" s="1477" t="str">
        <f>IF('0 Úvod'!$M$10="English",Slovnik!D579,Slovnik!C579)</f>
        <v>řízení dopravy</v>
      </c>
      <c r="E137" s="1470">
        <v>0.60099999999999998</v>
      </c>
      <c r="F137" s="97"/>
      <c r="G137" s="97"/>
      <c r="H137" s="97"/>
      <c r="I137" s="97"/>
      <c r="J137" s="97"/>
      <c r="K137" s="97"/>
      <c r="L137" s="97"/>
    </row>
    <row r="138" spans="2:12" x14ac:dyDescent="0.25">
      <c r="B138" s="1476"/>
      <c r="C138" s="2602"/>
      <c r="D138" s="1477" t="str">
        <f>IF('0 Úvod'!$M$10="English",Slovnik!D580,Slovnik!C580)</f>
        <v>provozní náklady vlaků</v>
      </c>
      <c r="E138" s="1470">
        <v>0.81200000000000006</v>
      </c>
      <c r="F138" s="97"/>
      <c r="G138" s="97"/>
      <c r="H138" s="97"/>
      <c r="I138" s="97"/>
      <c r="J138" s="97"/>
      <c r="K138" s="97"/>
      <c r="L138" s="97"/>
    </row>
    <row r="139" spans="2:12" x14ac:dyDescent="0.25">
      <c r="B139" s="1480"/>
      <c r="C139" s="2608" t="str">
        <f>IF('0 Úvod'!$M$10="English",Slovnik!$D$572,Slovnik!$C$572)</f>
        <v>PROVOZNÍ NÁKLADY silniční infrastruktura</v>
      </c>
      <c r="D139" s="1481" t="str">
        <f>IF('0 Úvod'!$M$10="English",Slovnik!D581,Slovnik!C581)</f>
        <v>opravy a údržba</v>
      </c>
      <c r="E139" s="1472">
        <v>0.79100000000000004</v>
      </c>
      <c r="F139" s="97"/>
      <c r="G139" s="97"/>
      <c r="H139" s="97"/>
      <c r="I139" s="97"/>
      <c r="J139" s="97"/>
      <c r="K139" s="97"/>
      <c r="L139" s="97"/>
    </row>
    <row r="140" spans="2:12" x14ac:dyDescent="0.25">
      <c r="B140" s="1482"/>
      <c r="C140" s="2609"/>
      <c r="D140" s="1477" t="str">
        <f>IF('0 Úvod'!$M$10="English",Slovnik!D582,Slovnik!C582)</f>
        <v>reinvestice</v>
      </c>
      <c r="E140" s="1470">
        <v>0.82899999999999996</v>
      </c>
      <c r="F140" s="97"/>
      <c r="G140" s="97"/>
      <c r="H140" s="97"/>
      <c r="I140" s="97"/>
      <c r="J140" s="97"/>
      <c r="K140" s="97"/>
      <c r="L140" s="97"/>
    </row>
    <row r="141" spans="2:12" x14ac:dyDescent="0.25">
      <c r="B141" s="1483"/>
      <c r="C141" s="2610" t="str">
        <f>IF('0 Úvod'!$M$10="English",Slovnik!$D$573,Slovnik!$C$573)</f>
        <v>PROVOZNÍ NÁKLADY
vodní infrastruktura</v>
      </c>
      <c r="D141" s="1481" t="str">
        <f>IF('0 Úvod'!$M$10="English",Slovnik!D583,Slovnik!C583)</f>
        <v>opravy a údržba</v>
      </c>
      <c r="E141" s="1472">
        <v>0.75</v>
      </c>
      <c r="F141" s="97"/>
      <c r="G141" s="97"/>
      <c r="H141" s="97"/>
      <c r="I141" s="97"/>
      <c r="J141" s="97"/>
      <c r="K141" s="97"/>
      <c r="L141" s="97"/>
    </row>
    <row r="142" spans="2:12" x14ac:dyDescent="0.25">
      <c r="B142" s="1476"/>
      <c r="C142" s="2609"/>
      <c r="D142" s="1477" t="str">
        <f>IF('0 Úvod'!$M$10="English",Slovnik!D584,Slovnik!C584)</f>
        <v>reinvestice</v>
      </c>
      <c r="E142" s="1470">
        <v>0.85199999999999998</v>
      </c>
      <c r="F142" s="97"/>
      <c r="G142" s="97"/>
      <c r="H142" s="97"/>
      <c r="I142" s="97"/>
      <c r="J142" s="97"/>
      <c r="K142" s="97"/>
      <c r="L142" s="97"/>
    </row>
    <row r="143" spans="2:12" ht="14.25" thickBot="1" x14ac:dyDescent="0.3">
      <c r="B143" s="1484"/>
      <c r="C143" s="2611"/>
      <c r="D143" s="1485" t="str">
        <f>IF('0 Úvod'!$M$10="English",Slovnik!D585,Slovnik!C585)</f>
        <v>provozní náklady plavidel</v>
      </c>
      <c r="E143" s="1473">
        <v>0.76400000000000001</v>
      </c>
      <c r="F143" s="97"/>
      <c r="G143" s="97"/>
      <c r="H143" s="97"/>
      <c r="I143" s="97"/>
      <c r="J143" s="97"/>
      <c r="K143" s="97"/>
      <c r="L143" s="97"/>
    </row>
    <row r="144" spans="2:12" x14ac:dyDescent="0.25">
      <c r="F144" s="97"/>
      <c r="G144" s="97"/>
      <c r="H144" s="97"/>
      <c r="I144" s="97"/>
      <c r="J144" s="97"/>
      <c r="K144" s="97"/>
      <c r="L144" s="97"/>
    </row>
    <row r="145" spans="2:19" ht="14.25" thickBot="1" x14ac:dyDescent="0.3">
      <c r="F145" s="97"/>
      <c r="G145" s="97"/>
      <c r="H145" s="97"/>
      <c r="I145" s="97"/>
      <c r="J145" s="97"/>
      <c r="K145" s="97"/>
      <c r="L145" s="97"/>
    </row>
    <row r="146" spans="2:19" x14ac:dyDescent="0.25">
      <c r="B146" s="2421" t="str">
        <f>IF('0 Úvod'!$M$10="English",Slovnik!$D$586,Slovnik!C$586)</f>
        <v>Komentáře</v>
      </c>
      <c r="C146" s="2422"/>
      <c r="D146" s="2422"/>
      <c r="E146" s="2422"/>
      <c r="F146" s="2422"/>
      <c r="G146" s="2422"/>
      <c r="H146" s="2422"/>
      <c r="I146" s="2422"/>
      <c r="J146" s="2422"/>
      <c r="K146" s="2422"/>
      <c r="L146" s="2423"/>
      <c r="M146" s="1486"/>
      <c r="N146" s="1487"/>
      <c r="O146" s="1487"/>
      <c r="P146" s="1487"/>
      <c r="Q146" s="1487"/>
      <c r="R146" s="1487"/>
      <c r="S146" s="1487"/>
    </row>
    <row r="147" spans="2:19" ht="14.25" thickBot="1" x14ac:dyDescent="0.3">
      <c r="B147" s="2424"/>
      <c r="C147" s="2425"/>
      <c r="D147" s="2425"/>
      <c r="E147" s="2425"/>
      <c r="F147" s="2425"/>
      <c r="G147" s="2425"/>
      <c r="H147" s="2425"/>
      <c r="I147" s="2425"/>
      <c r="J147" s="2425"/>
      <c r="K147" s="2425"/>
      <c r="L147" s="2426"/>
      <c r="M147" s="1486"/>
      <c r="N147" s="1487"/>
      <c r="O147" s="1487"/>
      <c r="P147" s="1487"/>
      <c r="Q147" s="1487"/>
      <c r="R147" s="1487"/>
      <c r="S147" s="1487"/>
    </row>
    <row r="148" spans="2:19" ht="21" customHeight="1" thickBot="1" x14ac:dyDescent="0.35">
      <c r="B148" s="777" t="str">
        <f>IF('0 Úvod'!$M$10="English",Slovnik!$E$581,Slovnik!$E$580)</f>
        <v>Konverzní faktor může být stanoven výpočtem pro konkrétní projekt v souladu s pokyny v kapitole 5.1.3 Rezortní metodiky, případně lze použít obecné doporučené hodnoty (tabulka 11.3.)</v>
      </c>
      <c r="C148" s="778"/>
      <c r="D148" s="779"/>
      <c r="E148" s="779"/>
      <c r="F148" s="779"/>
      <c r="G148" s="780"/>
      <c r="H148" s="781"/>
      <c r="I148" s="781"/>
      <c r="J148" s="781"/>
      <c r="K148" s="781"/>
      <c r="L148" s="782"/>
      <c r="M148" s="1488"/>
      <c r="N148" s="666"/>
      <c r="O148" s="666"/>
      <c r="P148" s="666"/>
      <c r="Q148" s="666"/>
      <c r="R148" s="666"/>
      <c r="S148" s="666"/>
    </row>
    <row r="149" spans="2:19" s="97" customFormat="1" x14ac:dyDescent="0.25"/>
    <row r="150" spans="2:19" s="97" customFormat="1" x14ac:dyDescent="0.25"/>
    <row r="151" spans="2:19" s="97" customFormat="1" x14ac:dyDescent="0.25"/>
    <row r="152" spans="2:19" s="97" customFormat="1" x14ac:dyDescent="0.25"/>
    <row r="153" spans="2:19" s="97" customFormat="1" x14ac:dyDescent="0.25"/>
    <row r="154" spans="2:19" s="97" customFormat="1" x14ac:dyDescent="0.25"/>
    <row r="155" spans="2:19" s="97" customFormat="1" x14ac:dyDescent="0.25"/>
    <row r="156" spans="2:19" s="97" customFormat="1" x14ac:dyDescent="0.25"/>
    <row r="157" spans="2:19" s="97" customFormat="1" x14ac:dyDescent="0.25"/>
    <row r="158" spans="2:19" s="97" customFormat="1" x14ac:dyDescent="0.25"/>
    <row r="159" spans="2:19" s="97" customFormat="1" x14ac:dyDescent="0.25"/>
    <row r="160" spans="2:19" s="97" customFormat="1" x14ac:dyDescent="0.25"/>
    <row r="161" s="97" customFormat="1" x14ac:dyDescent="0.25"/>
    <row r="162" s="97" customFormat="1" x14ac:dyDescent="0.25"/>
    <row r="163" s="97" customFormat="1" x14ac:dyDescent="0.25"/>
    <row r="164" s="97" customFormat="1" x14ac:dyDescent="0.25"/>
    <row r="165" s="97" customFormat="1" x14ac:dyDescent="0.25"/>
    <row r="166" s="97" customFormat="1" x14ac:dyDescent="0.25"/>
    <row r="167" s="97" customFormat="1" x14ac:dyDescent="0.25"/>
    <row r="168" s="97" customFormat="1" x14ac:dyDescent="0.25"/>
    <row r="169" s="97" customFormat="1" x14ac:dyDescent="0.25"/>
    <row r="170" s="97" customFormat="1" x14ac:dyDescent="0.25"/>
    <row r="171" s="97" customFormat="1" x14ac:dyDescent="0.25"/>
    <row r="172" s="97" customFormat="1" x14ac:dyDescent="0.25"/>
    <row r="173" s="97" customFormat="1" x14ac:dyDescent="0.25"/>
    <row r="174" s="97" customFormat="1" x14ac:dyDescent="0.25"/>
    <row r="175" s="97" customFormat="1" x14ac:dyDescent="0.25"/>
    <row r="176" s="97" customFormat="1" x14ac:dyDescent="0.25"/>
    <row r="177" s="97" customFormat="1" x14ac:dyDescent="0.25"/>
    <row r="178" s="97" customFormat="1" x14ac:dyDescent="0.25"/>
    <row r="179" s="97" customFormat="1" x14ac:dyDescent="0.25"/>
    <row r="180" s="97" customFormat="1" x14ac:dyDescent="0.25"/>
    <row r="181" s="97" customFormat="1" x14ac:dyDescent="0.25"/>
    <row r="182" s="97" customFormat="1" x14ac:dyDescent="0.25"/>
    <row r="183" s="97" customFormat="1" x14ac:dyDescent="0.25"/>
    <row r="184" s="97" customFormat="1" x14ac:dyDescent="0.25"/>
    <row r="185" s="97" customFormat="1" x14ac:dyDescent="0.25"/>
    <row r="186" s="97" customFormat="1" x14ac:dyDescent="0.25"/>
    <row r="187" s="97" customFormat="1" x14ac:dyDescent="0.25"/>
    <row r="188" s="97" customFormat="1" x14ac:dyDescent="0.25"/>
    <row r="189" s="97" customFormat="1" x14ac:dyDescent="0.25"/>
    <row r="190" s="97" customFormat="1" x14ac:dyDescent="0.25"/>
    <row r="191" s="97" customFormat="1" x14ac:dyDescent="0.25"/>
    <row r="192" s="97" customFormat="1" x14ac:dyDescent="0.25"/>
    <row r="193" s="97" customFormat="1" x14ac:dyDescent="0.25"/>
    <row r="194" s="97" customFormat="1" x14ac:dyDescent="0.25"/>
    <row r="195" s="97" customFormat="1" x14ac:dyDescent="0.25"/>
    <row r="196" s="97" customFormat="1" x14ac:dyDescent="0.25"/>
    <row r="197" s="97" customFormat="1" x14ac:dyDescent="0.25"/>
    <row r="198" s="97" customFormat="1" x14ac:dyDescent="0.25"/>
    <row r="199" s="97" customFormat="1" x14ac:dyDescent="0.25"/>
    <row r="200" s="97" customFormat="1" x14ac:dyDescent="0.25"/>
    <row r="201" s="97" customFormat="1" x14ac:dyDescent="0.25"/>
    <row r="202" s="97" customFormat="1" x14ac:dyDescent="0.25"/>
    <row r="203" s="97" customFormat="1" x14ac:dyDescent="0.25"/>
    <row r="204" s="97" customFormat="1" x14ac:dyDescent="0.25"/>
    <row r="205" s="97" customFormat="1" x14ac:dyDescent="0.25"/>
    <row r="206" s="97" customFormat="1" x14ac:dyDescent="0.25"/>
    <row r="207" s="97" customFormat="1" x14ac:dyDescent="0.25"/>
    <row r="208" s="97" customFormat="1" x14ac:dyDescent="0.25"/>
    <row r="209" s="97" customFormat="1" x14ac:dyDescent="0.25"/>
    <row r="210" s="97" customFormat="1" x14ac:dyDescent="0.25"/>
    <row r="211" s="97" customFormat="1" x14ac:dyDescent="0.25"/>
    <row r="212" s="97" customFormat="1" x14ac:dyDescent="0.25"/>
    <row r="213" s="97" customFormat="1" x14ac:dyDescent="0.25"/>
    <row r="214" s="97" customFormat="1" x14ac:dyDescent="0.25"/>
    <row r="215" s="97" customFormat="1" x14ac:dyDescent="0.25"/>
    <row r="216" s="97" customFormat="1" x14ac:dyDescent="0.25"/>
    <row r="217" s="97" customFormat="1" x14ac:dyDescent="0.25"/>
    <row r="218" s="97" customFormat="1" x14ac:dyDescent="0.25"/>
    <row r="219" s="97" customFormat="1" x14ac:dyDescent="0.25"/>
    <row r="220" s="97" customFormat="1" x14ac:dyDescent="0.25"/>
    <row r="221" s="97" customFormat="1" x14ac:dyDescent="0.25"/>
    <row r="222" s="97" customFormat="1" x14ac:dyDescent="0.25"/>
    <row r="223" s="97" customFormat="1" x14ac:dyDescent="0.25"/>
    <row r="224" s="97" customFormat="1" x14ac:dyDescent="0.25"/>
    <row r="225" s="97" customFormat="1" x14ac:dyDescent="0.25"/>
    <row r="226" s="97" customFormat="1" x14ac:dyDescent="0.25"/>
    <row r="227" s="97" customFormat="1" x14ac:dyDescent="0.25"/>
    <row r="228" s="97" customFormat="1" x14ac:dyDescent="0.25"/>
    <row r="229" s="97" customFormat="1" x14ac:dyDescent="0.25"/>
    <row r="230" s="97" customFormat="1" x14ac:dyDescent="0.25"/>
    <row r="231" s="97" customFormat="1" x14ac:dyDescent="0.25"/>
    <row r="232" s="97" customFormat="1" x14ac:dyDescent="0.25"/>
    <row r="233" s="97" customFormat="1" x14ac:dyDescent="0.25"/>
    <row r="234" s="97" customFormat="1" x14ac:dyDescent="0.25"/>
    <row r="235" s="97" customFormat="1" x14ac:dyDescent="0.25"/>
    <row r="236" s="97" customFormat="1" x14ac:dyDescent="0.25"/>
    <row r="237" s="97" customFormat="1" x14ac:dyDescent="0.25"/>
    <row r="238" s="97" customFormat="1" x14ac:dyDescent="0.25"/>
    <row r="239" s="97" customFormat="1" x14ac:dyDescent="0.25"/>
    <row r="240" s="97" customFormat="1" x14ac:dyDescent="0.25"/>
    <row r="241" s="97" customFormat="1" x14ac:dyDescent="0.25"/>
    <row r="242" s="97" customFormat="1" x14ac:dyDescent="0.25"/>
    <row r="243" s="97" customFormat="1" x14ac:dyDescent="0.25"/>
    <row r="244" s="97" customFormat="1" x14ac:dyDescent="0.25"/>
    <row r="245" s="97" customFormat="1" x14ac:dyDescent="0.25"/>
    <row r="246" s="97" customFormat="1" x14ac:dyDescent="0.25"/>
    <row r="247" s="97" customFormat="1" x14ac:dyDescent="0.25"/>
    <row r="248" s="97" customFormat="1" x14ac:dyDescent="0.25"/>
    <row r="249" s="97" customFormat="1" x14ac:dyDescent="0.25"/>
    <row r="250" s="97" customFormat="1" x14ac:dyDescent="0.25"/>
    <row r="251" s="97" customFormat="1" x14ac:dyDescent="0.25"/>
    <row r="252" s="97" customFormat="1" x14ac:dyDescent="0.25"/>
    <row r="253" s="97" customFormat="1" x14ac:dyDescent="0.25"/>
    <row r="254" s="97" customFormat="1" x14ac:dyDescent="0.25"/>
    <row r="255" s="97" customFormat="1" x14ac:dyDescent="0.25"/>
    <row r="256" s="97" customFormat="1" x14ac:dyDescent="0.25"/>
    <row r="257" s="97" customFormat="1" x14ac:dyDescent="0.25"/>
    <row r="258" s="97" customFormat="1" x14ac:dyDescent="0.25"/>
    <row r="259" s="97" customFormat="1" x14ac:dyDescent="0.25"/>
    <row r="260" s="97" customFormat="1" x14ac:dyDescent="0.25"/>
    <row r="261" s="97" customFormat="1" x14ac:dyDescent="0.25"/>
    <row r="262" s="97" customFormat="1" x14ac:dyDescent="0.25"/>
    <row r="263" s="97" customFormat="1" x14ac:dyDescent="0.25"/>
    <row r="264" s="97" customFormat="1" x14ac:dyDescent="0.25"/>
    <row r="265" s="97" customFormat="1" x14ac:dyDescent="0.25"/>
    <row r="266" s="97" customFormat="1" x14ac:dyDescent="0.25"/>
    <row r="267" s="97" customFormat="1" x14ac:dyDescent="0.25"/>
    <row r="268" s="97" customFormat="1" x14ac:dyDescent="0.25"/>
    <row r="269" s="97" customFormat="1" x14ac:dyDescent="0.25"/>
    <row r="270" s="97" customFormat="1" x14ac:dyDescent="0.25"/>
    <row r="271" s="97" customFormat="1" x14ac:dyDescent="0.25"/>
    <row r="272" s="97" customFormat="1" x14ac:dyDescent="0.25"/>
    <row r="273" s="97" customFormat="1" x14ac:dyDescent="0.25"/>
    <row r="274" s="97" customFormat="1" x14ac:dyDescent="0.25"/>
    <row r="275" s="97" customFormat="1" x14ac:dyDescent="0.25"/>
    <row r="276" s="97" customFormat="1" x14ac:dyDescent="0.25"/>
    <row r="277" s="97" customFormat="1" x14ac:dyDescent="0.25"/>
    <row r="278" s="97" customFormat="1" x14ac:dyDescent="0.25"/>
    <row r="279" s="97" customFormat="1" x14ac:dyDescent="0.25"/>
    <row r="280" s="97" customFormat="1" x14ac:dyDescent="0.25"/>
    <row r="281" s="97" customFormat="1" x14ac:dyDescent="0.25"/>
    <row r="282" s="97" customFormat="1" x14ac:dyDescent="0.25"/>
    <row r="283" s="97" customFormat="1" x14ac:dyDescent="0.25"/>
    <row r="284" s="97" customFormat="1" x14ac:dyDescent="0.25"/>
    <row r="285" s="97" customFormat="1" x14ac:dyDescent="0.25"/>
    <row r="286" s="97" customFormat="1" x14ac:dyDescent="0.25"/>
    <row r="287" s="97" customFormat="1" x14ac:dyDescent="0.25"/>
    <row r="288" s="97" customFormat="1" x14ac:dyDescent="0.25"/>
    <row r="289" s="97" customFormat="1" x14ac:dyDescent="0.25"/>
    <row r="290" s="97" customFormat="1" x14ac:dyDescent="0.25"/>
    <row r="291" s="97" customFormat="1" x14ac:dyDescent="0.25"/>
    <row r="292" s="97" customFormat="1" x14ac:dyDescent="0.25"/>
    <row r="293" s="97" customFormat="1" x14ac:dyDescent="0.25"/>
    <row r="294" s="97" customFormat="1" x14ac:dyDescent="0.25"/>
    <row r="295" s="97" customFormat="1" x14ac:dyDescent="0.25"/>
    <row r="296" s="97" customFormat="1" x14ac:dyDescent="0.25"/>
    <row r="297" s="97" customFormat="1" x14ac:dyDescent="0.25"/>
    <row r="298" s="97" customFormat="1" x14ac:dyDescent="0.25"/>
    <row r="299" s="97" customFormat="1" x14ac:dyDescent="0.25"/>
    <row r="300" s="97" customFormat="1" x14ac:dyDescent="0.25"/>
    <row r="301" s="97" customFormat="1" x14ac:dyDescent="0.25"/>
    <row r="302" s="97" customFormat="1" x14ac:dyDescent="0.25"/>
    <row r="303" s="97" customFormat="1" x14ac:dyDescent="0.25"/>
    <row r="304" s="97" customFormat="1" x14ac:dyDescent="0.25"/>
    <row r="305" s="97" customFormat="1" x14ac:dyDescent="0.25"/>
    <row r="306" s="97" customFormat="1" x14ac:dyDescent="0.25"/>
    <row r="307" s="97" customFormat="1" x14ac:dyDescent="0.25"/>
    <row r="308" s="97" customFormat="1" x14ac:dyDescent="0.25"/>
    <row r="309" s="97" customFormat="1" x14ac:dyDescent="0.25"/>
    <row r="310" s="97" customFormat="1" x14ac:dyDescent="0.25"/>
    <row r="311" s="97" customFormat="1" x14ac:dyDescent="0.25"/>
    <row r="312" s="97" customFormat="1" x14ac:dyDescent="0.25"/>
    <row r="313" s="97" customFormat="1" x14ac:dyDescent="0.25"/>
    <row r="314" s="97" customFormat="1" x14ac:dyDescent="0.25"/>
    <row r="315" s="97" customFormat="1" x14ac:dyDescent="0.25"/>
    <row r="316" s="97" customFormat="1" x14ac:dyDescent="0.25"/>
    <row r="317" s="97" customFormat="1" x14ac:dyDescent="0.25"/>
    <row r="318" s="97" customFormat="1" x14ac:dyDescent="0.25"/>
    <row r="319" s="97" customFormat="1" x14ac:dyDescent="0.25"/>
    <row r="320" s="97" customFormat="1" x14ac:dyDescent="0.25"/>
    <row r="321" s="97" customFormat="1" x14ac:dyDescent="0.25"/>
    <row r="322" s="97" customFormat="1" x14ac:dyDescent="0.25"/>
    <row r="323" s="97" customFormat="1" x14ac:dyDescent="0.25"/>
    <row r="324" s="97" customFormat="1" x14ac:dyDescent="0.25"/>
    <row r="325" s="97" customFormat="1" x14ac:dyDescent="0.25"/>
    <row r="326" s="97" customFormat="1" x14ac:dyDescent="0.25"/>
    <row r="327" s="97" customFormat="1" x14ac:dyDescent="0.25"/>
    <row r="328" s="97" customFormat="1" x14ac:dyDescent="0.25"/>
    <row r="329" s="97" customFormat="1" x14ac:dyDescent="0.25"/>
    <row r="330" s="97" customFormat="1" x14ac:dyDescent="0.25"/>
    <row r="331" s="97" customFormat="1" x14ac:dyDescent="0.25"/>
    <row r="332" s="97" customFormat="1" x14ac:dyDescent="0.25"/>
    <row r="333" s="97" customFormat="1" x14ac:dyDescent="0.25"/>
    <row r="334" s="97" customFormat="1" x14ac:dyDescent="0.25"/>
    <row r="335" s="97" customFormat="1" x14ac:dyDescent="0.25"/>
    <row r="336" s="97" customFormat="1" x14ac:dyDescent="0.25"/>
    <row r="337" s="97" customFormat="1" x14ac:dyDescent="0.25"/>
    <row r="338" s="97" customFormat="1" x14ac:dyDescent="0.25"/>
    <row r="339" s="97" customFormat="1" x14ac:dyDescent="0.25"/>
    <row r="340" s="97" customFormat="1" x14ac:dyDescent="0.25"/>
    <row r="341" s="97" customFormat="1" x14ac:dyDescent="0.25"/>
    <row r="342" s="97" customFormat="1" x14ac:dyDescent="0.25"/>
    <row r="343" s="97" customFormat="1" x14ac:dyDescent="0.25"/>
    <row r="344" s="97" customFormat="1" x14ac:dyDescent="0.25"/>
    <row r="345" s="97" customFormat="1" x14ac:dyDescent="0.25"/>
    <row r="346" s="97" customFormat="1" x14ac:dyDescent="0.25"/>
    <row r="347" s="97" customFormat="1" x14ac:dyDescent="0.25"/>
    <row r="348" s="97" customFormat="1" x14ac:dyDescent="0.25"/>
    <row r="349" s="97" customFormat="1" x14ac:dyDescent="0.25"/>
    <row r="350" s="97" customFormat="1" x14ac:dyDescent="0.25"/>
    <row r="351" s="97" customFormat="1" x14ac:dyDescent="0.25"/>
    <row r="352" s="97" customFormat="1" x14ac:dyDescent="0.25"/>
    <row r="353" s="97" customFormat="1" x14ac:dyDescent="0.25"/>
    <row r="354" s="97" customFormat="1" x14ac:dyDescent="0.25"/>
    <row r="355" s="97" customFormat="1" x14ac:dyDescent="0.25"/>
    <row r="356" s="97" customFormat="1" x14ac:dyDescent="0.25"/>
    <row r="357" s="97" customFormat="1" x14ac:dyDescent="0.25"/>
    <row r="358" s="97" customFormat="1" x14ac:dyDescent="0.25"/>
    <row r="359" s="97" customFormat="1" x14ac:dyDescent="0.25"/>
    <row r="360" s="97" customFormat="1" x14ac:dyDescent="0.25"/>
    <row r="361" s="97" customFormat="1" x14ac:dyDescent="0.25"/>
    <row r="362" s="97" customFormat="1" x14ac:dyDescent="0.25"/>
    <row r="363" s="97" customFormat="1" x14ac:dyDescent="0.25"/>
    <row r="364" s="97" customFormat="1" x14ac:dyDescent="0.25"/>
    <row r="365" s="97" customFormat="1" x14ac:dyDescent="0.25"/>
    <row r="366" s="97" customFormat="1" x14ac:dyDescent="0.25"/>
    <row r="367" s="97" customFormat="1" x14ac:dyDescent="0.25"/>
    <row r="368" s="97" customFormat="1" x14ac:dyDescent="0.25"/>
    <row r="369" s="97" customFormat="1" x14ac:dyDescent="0.25"/>
    <row r="370" s="97" customFormat="1" x14ac:dyDescent="0.25"/>
    <row r="371" s="97" customFormat="1" x14ac:dyDescent="0.25"/>
    <row r="372" s="97" customFormat="1" x14ac:dyDescent="0.25"/>
    <row r="373" s="97" customFormat="1" x14ac:dyDescent="0.25"/>
    <row r="374" s="97" customFormat="1" x14ac:dyDescent="0.25"/>
    <row r="375" s="97" customFormat="1" x14ac:dyDescent="0.25"/>
    <row r="376" s="97" customFormat="1" x14ac:dyDescent="0.25"/>
    <row r="377" s="97" customFormat="1" x14ac:dyDescent="0.25"/>
    <row r="378" s="97" customFormat="1" x14ac:dyDescent="0.25"/>
    <row r="379" s="97" customFormat="1" x14ac:dyDescent="0.25"/>
    <row r="380" s="97" customFormat="1" x14ac:dyDescent="0.25"/>
    <row r="381" s="97" customFormat="1" x14ac:dyDescent="0.25"/>
    <row r="382" s="97" customFormat="1" x14ac:dyDescent="0.25"/>
    <row r="383" s="97" customFormat="1" x14ac:dyDescent="0.25"/>
    <row r="384" s="97" customFormat="1" x14ac:dyDescent="0.25"/>
    <row r="385" s="97" customFormat="1" x14ac:dyDescent="0.25"/>
    <row r="386" s="97" customFormat="1" x14ac:dyDescent="0.25"/>
    <row r="387" s="97" customFormat="1" x14ac:dyDescent="0.25"/>
    <row r="388" s="97" customFormat="1" x14ac:dyDescent="0.25"/>
    <row r="389" s="97" customFormat="1" x14ac:dyDescent="0.25"/>
    <row r="390" s="97" customFormat="1" x14ac:dyDescent="0.25"/>
    <row r="391" s="97" customFormat="1" x14ac:dyDescent="0.25"/>
    <row r="392" s="97" customFormat="1" x14ac:dyDescent="0.25"/>
    <row r="393" s="97" customFormat="1" x14ac:dyDescent="0.25"/>
    <row r="394" s="97" customFormat="1" x14ac:dyDescent="0.25"/>
    <row r="395" s="97" customFormat="1" x14ac:dyDescent="0.25"/>
    <row r="396" s="97" customFormat="1" x14ac:dyDescent="0.25"/>
    <row r="397" s="97" customFormat="1" x14ac:dyDescent="0.25"/>
    <row r="398" s="97" customFormat="1" x14ac:dyDescent="0.25"/>
    <row r="399" s="97" customFormat="1" x14ac:dyDescent="0.25"/>
    <row r="400" s="97" customFormat="1" x14ac:dyDescent="0.25"/>
    <row r="401" s="97" customFormat="1" x14ac:dyDescent="0.25"/>
    <row r="402" s="97" customFormat="1" x14ac:dyDescent="0.25"/>
    <row r="403" s="97" customFormat="1" x14ac:dyDescent="0.25"/>
    <row r="404" s="97" customFormat="1" x14ac:dyDescent="0.25"/>
    <row r="405" s="97" customFormat="1" x14ac:dyDescent="0.25"/>
    <row r="406" s="97" customFormat="1" x14ac:dyDescent="0.25"/>
    <row r="407" s="97" customFormat="1" x14ac:dyDescent="0.25"/>
    <row r="408" s="97" customFormat="1" x14ac:dyDescent="0.25"/>
    <row r="409" s="97" customFormat="1" x14ac:dyDescent="0.25"/>
    <row r="410" s="97" customFormat="1" x14ac:dyDescent="0.25"/>
    <row r="411" s="97" customFormat="1" x14ac:dyDescent="0.25"/>
    <row r="412" s="97" customFormat="1" x14ac:dyDescent="0.25"/>
    <row r="413" s="97" customFormat="1" x14ac:dyDescent="0.25"/>
    <row r="414" s="97" customFormat="1" x14ac:dyDescent="0.25"/>
    <row r="415" s="97" customFormat="1" x14ac:dyDescent="0.25"/>
    <row r="416" s="97" customFormat="1" x14ac:dyDescent="0.25"/>
    <row r="417" s="97" customFormat="1" x14ac:dyDescent="0.25"/>
    <row r="418" s="97" customFormat="1" x14ac:dyDescent="0.25"/>
    <row r="419" s="97" customFormat="1" x14ac:dyDescent="0.25"/>
    <row r="420" s="97" customFormat="1" x14ac:dyDescent="0.25"/>
    <row r="421" s="97" customFormat="1" x14ac:dyDescent="0.25"/>
    <row r="422" s="97" customFormat="1" x14ac:dyDescent="0.25"/>
    <row r="423" s="97" customFormat="1" x14ac:dyDescent="0.25"/>
    <row r="424" s="97" customFormat="1" x14ac:dyDescent="0.25"/>
    <row r="425" s="97" customFormat="1" x14ac:dyDescent="0.25"/>
    <row r="426" s="97" customFormat="1" x14ac:dyDescent="0.25"/>
    <row r="427" s="97" customFormat="1" x14ac:dyDescent="0.25"/>
    <row r="428" s="97" customFormat="1" x14ac:dyDescent="0.25"/>
    <row r="429" s="97" customFormat="1" x14ac:dyDescent="0.25"/>
    <row r="430" s="97" customFormat="1" x14ac:dyDescent="0.25"/>
    <row r="431" s="97" customFormat="1" x14ac:dyDescent="0.25"/>
    <row r="432" s="97" customFormat="1" x14ac:dyDescent="0.25"/>
    <row r="433" s="97" customFormat="1" x14ac:dyDescent="0.25"/>
    <row r="434" s="97" customFormat="1" x14ac:dyDescent="0.25"/>
    <row r="435" s="97" customFormat="1" x14ac:dyDescent="0.25"/>
    <row r="436" s="97" customFormat="1" x14ac:dyDescent="0.25"/>
    <row r="437" s="97" customFormat="1" x14ac:dyDescent="0.25"/>
    <row r="438" s="97" customFormat="1" x14ac:dyDescent="0.25"/>
    <row r="439" s="97" customFormat="1" x14ac:dyDescent="0.25"/>
    <row r="440" s="97" customFormat="1" x14ac:dyDescent="0.25"/>
    <row r="441" s="97" customFormat="1" x14ac:dyDescent="0.25"/>
    <row r="442" s="97" customFormat="1" x14ac:dyDescent="0.25"/>
    <row r="443" s="97" customFormat="1" x14ac:dyDescent="0.25"/>
    <row r="444" s="97" customFormat="1" x14ac:dyDescent="0.25"/>
    <row r="445" s="97" customFormat="1" x14ac:dyDescent="0.25"/>
    <row r="446" s="97" customFormat="1" x14ac:dyDescent="0.25"/>
    <row r="447" s="97" customFormat="1" x14ac:dyDescent="0.25"/>
    <row r="448" s="97" customFormat="1" x14ac:dyDescent="0.25"/>
    <row r="449" s="97" customFormat="1" x14ac:dyDescent="0.25"/>
    <row r="450" s="97" customFormat="1" x14ac:dyDescent="0.25"/>
    <row r="451" s="97" customFormat="1" x14ac:dyDescent="0.25"/>
    <row r="452" s="97" customFormat="1" x14ac:dyDescent="0.25"/>
    <row r="453" s="97" customFormat="1" x14ac:dyDescent="0.25"/>
    <row r="454" s="97" customFormat="1" x14ac:dyDescent="0.25"/>
    <row r="455" s="97" customFormat="1" x14ac:dyDescent="0.25"/>
    <row r="456" s="97" customFormat="1" x14ac:dyDescent="0.25"/>
    <row r="457" s="97" customFormat="1" x14ac:dyDescent="0.25"/>
    <row r="458" s="97" customFormat="1" x14ac:dyDescent="0.25"/>
    <row r="459" s="97" customFormat="1" x14ac:dyDescent="0.25"/>
    <row r="460" s="97" customFormat="1" x14ac:dyDescent="0.25"/>
    <row r="461" s="97" customFormat="1" x14ac:dyDescent="0.25"/>
    <row r="462" s="97" customFormat="1" x14ac:dyDescent="0.25"/>
    <row r="463" s="97" customFormat="1" x14ac:dyDescent="0.25"/>
    <row r="464" s="97" customFormat="1" x14ac:dyDescent="0.25"/>
    <row r="465" s="97" customFormat="1" x14ac:dyDescent="0.25"/>
    <row r="466" s="97" customFormat="1" x14ac:dyDescent="0.25"/>
    <row r="467" s="97" customFormat="1" x14ac:dyDescent="0.25"/>
    <row r="468" s="97" customFormat="1" x14ac:dyDescent="0.25"/>
    <row r="469" s="97" customFormat="1" x14ac:dyDescent="0.25"/>
    <row r="470" s="97" customFormat="1" x14ac:dyDescent="0.25"/>
    <row r="471" s="97" customFormat="1" x14ac:dyDescent="0.25"/>
    <row r="472" s="97" customFormat="1" x14ac:dyDescent="0.25"/>
    <row r="473" s="97" customFormat="1" x14ac:dyDescent="0.25"/>
    <row r="474" s="97" customFormat="1" x14ac:dyDescent="0.25"/>
    <row r="475" s="97" customFormat="1" x14ac:dyDescent="0.25"/>
    <row r="476" s="97" customFormat="1" x14ac:dyDescent="0.25"/>
    <row r="477" s="97" customFormat="1" x14ac:dyDescent="0.25"/>
    <row r="478" s="97" customFormat="1" x14ac:dyDescent="0.25"/>
    <row r="479" s="97" customFormat="1" x14ac:dyDescent="0.25"/>
    <row r="480" s="97" customFormat="1" x14ac:dyDescent="0.25"/>
    <row r="481" s="97" customFormat="1" x14ac:dyDescent="0.25"/>
    <row r="482" s="97" customFormat="1" x14ac:dyDescent="0.25"/>
    <row r="483" s="97" customFormat="1" x14ac:dyDescent="0.25"/>
    <row r="484" s="97" customFormat="1" x14ac:dyDescent="0.25"/>
    <row r="485" s="97" customFormat="1" x14ac:dyDescent="0.25"/>
    <row r="486" s="97" customFormat="1" x14ac:dyDescent="0.25"/>
    <row r="487" s="97" customFormat="1" x14ac:dyDescent="0.25"/>
    <row r="488" s="97" customFormat="1" x14ac:dyDescent="0.25"/>
    <row r="489" s="97" customFormat="1" x14ac:dyDescent="0.25"/>
    <row r="490" s="97" customFormat="1" x14ac:dyDescent="0.25"/>
    <row r="491" s="97" customFormat="1" x14ac:dyDescent="0.25"/>
    <row r="492" s="97" customFormat="1" x14ac:dyDescent="0.25"/>
    <row r="493" s="97" customFormat="1" x14ac:dyDescent="0.25"/>
    <row r="494" s="97" customFormat="1" x14ac:dyDescent="0.25"/>
    <row r="495" s="97" customFormat="1" x14ac:dyDescent="0.25"/>
    <row r="496" s="97" customFormat="1" x14ac:dyDescent="0.25"/>
    <row r="497" s="97" customFormat="1" x14ac:dyDescent="0.25"/>
    <row r="498" s="97" customFormat="1" x14ac:dyDescent="0.25"/>
    <row r="499" s="97" customFormat="1" x14ac:dyDescent="0.25"/>
    <row r="500" s="97" customFormat="1" x14ac:dyDescent="0.25"/>
    <row r="501" s="97" customFormat="1" x14ac:dyDescent="0.25"/>
    <row r="502" s="97" customFormat="1" x14ac:dyDescent="0.25"/>
    <row r="503" s="97" customFormat="1" x14ac:dyDescent="0.25"/>
    <row r="504" s="97" customFormat="1" x14ac:dyDescent="0.25"/>
    <row r="505" s="97" customFormat="1" x14ac:dyDescent="0.25"/>
    <row r="506" s="97" customFormat="1" x14ac:dyDescent="0.25"/>
    <row r="507" s="97" customFormat="1" x14ac:dyDescent="0.25"/>
    <row r="508" s="97" customFormat="1" x14ac:dyDescent="0.25"/>
    <row r="509" s="97" customFormat="1" x14ac:dyDescent="0.25"/>
    <row r="510" s="97" customFormat="1" x14ac:dyDescent="0.25"/>
    <row r="511" s="97" customFormat="1" x14ac:dyDescent="0.25"/>
    <row r="512" s="97" customFormat="1" x14ac:dyDescent="0.25"/>
    <row r="513" s="97" customFormat="1" x14ac:dyDescent="0.25"/>
    <row r="514" s="97" customFormat="1" x14ac:dyDescent="0.25"/>
    <row r="515" s="97" customFormat="1" x14ac:dyDescent="0.25"/>
    <row r="516" s="97" customFormat="1" x14ac:dyDescent="0.25"/>
    <row r="517" s="97" customFormat="1" x14ac:dyDescent="0.25"/>
    <row r="518" s="97" customFormat="1" x14ac:dyDescent="0.25"/>
    <row r="519" s="97" customFormat="1" x14ac:dyDescent="0.25"/>
    <row r="520" s="97" customFormat="1" x14ac:dyDescent="0.25"/>
    <row r="521" s="97" customFormat="1" x14ac:dyDescent="0.25"/>
    <row r="522" s="97" customFormat="1" x14ac:dyDescent="0.25"/>
    <row r="523" s="97" customFormat="1" x14ac:dyDescent="0.25"/>
    <row r="524" s="97" customFormat="1" x14ac:dyDescent="0.25"/>
    <row r="525" s="97" customFormat="1" x14ac:dyDescent="0.25"/>
    <row r="526" s="97" customFormat="1" x14ac:dyDescent="0.25"/>
    <row r="527" s="97" customFormat="1" x14ac:dyDescent="0.25"/>
    <row r="528" s="97" customFormat="1" x14ac:dyDescent="0.25"/>
    <row r="529" s="97" customFormat="1" x14ac:dyDescent="0.25"/>
    <row r="530" s="97" customFormat="1" x14ac:dyDescent="0.25"/>
    <row r="531" s="97" customFormat="1" x14ac:dyDescent="0.25"/>
    <row r="532" s="97" customFormat="1" x14ac:dyDescent="0.25"/>
    <row r="533" s="97" customFormat="1" x14ac:dyDescent="0.25"/>
    <row r="534" s="97" customFormat="1" x14ac:dyDescent="0.25"/>
    <row r="535" s="97" customFormat="1" x14ac:dyDescent="0.25"/>
    <row r="536" s="97" customFormat="1" x14ac:dyDescent="0.25"/>
    <row r="537" s="97" customFormat="1" x14ac:dyDescent="0.25"/>
    <row r="538" s="97" customFormat="1" x14ac:dyDescent="0.25"/>
    <row r="539" s="97" customFormat="1" x14ac:dyDescent="0.25"/>
    <row r="540" s="97" customFormat="1" x14ac:dyDescent="0.25"/>
    <row r="541" s="97" customFormat="1" x14ac:dyDescent="0.25"/>
    <row r="542" s="97" customFormat="1" x14ac:dyDescent="0.25"/>
    <row r="543" s="97" customFormat="1" x14ac:dyDescent="0.25"/>
    <row r="544" s="97" customFormat="1" x14ac:dyDescent="0.25"/>
    <row r="545" s="97" customFormat="1" x14ac:dyDescent="0.25"/>
    <row r="546" s="97" customFormat="1" x14ac:dyDescent="0.25"/>
    <row r="547" s="97" customFormat="1" x14ac:dyDescent="0.25"/>
    <row r="548" s="97" customFormat="1" x14ac:dyDescent="0.25"/>
    <row r="549" s="97" customFormat="1" x14ac:dyDescent="0.25"/>
    <row r="550" s="97" customFormat="1" x14ac:dyDescent="0.25"/>
    <row r="551" s="97" customFormat="1" x14ac:dyDescent="0.25"/>
    <row r="552" s="97" customFormat="1" x14ac:dyDescent="0.25"/>
    <row r="553" s="97" customFormat="1" x14ac:dyDescent="0.25"/>
    <row r="554" s="97" customFormat="1" x14ac:dyDescent="0.25"/>
    <row r="555" s="97" customFormat="1" x14ac:dyDescent="0.25"/>
    <row r="556" s="97" customFormat="1" x14ac:dyDescent="0.25"/>
    <row r="557" s="97" customFormat="1" x14ac:dyDescent="0.25"/>
    <row r="558" s="97" customFormat="1" x14ac:dyDescent="0.25"/>
    <row r="559" s="97" customFormat="1" x14ac:dyDescent="0.25"/>
    <row r="560" s="97" customFormat="1" x14ac:dyDescent="0.25"/>
    <row r="561" s="97" customFormat="1" x14ac:dyDescent="0.25"/>
    <row r="562" s="97" customFormat="1" x14ac:dyDescent="0.25"/>
    <row r="563" s="97" customFormat="1" x14ac:dyDescent="0.25"/>
    <row r="564" s="97" customFormat="1" x14ac:dyDescent="0.25"/>
    <row r="565" s="97" customFormat="1" x14ac:dyDescent="0.25"/>
    <row r="566" s="97" customFormat="1" x14ac:dyDescent="0.25"/>
    <row r="567" s="97" customFormat="1" x14ac:dyDescent="0.25"/>
    <row r="568" s="97" customFormat="1" x14ac:dyDescent="0.25"/>
    <row r="569" s="97" customFormat="1" x14ac:dyDescent="0.25"/>
    <row r="570" s="97" customFormat="1" x14ac:dyDescent="0.25"/>
    <row r="571" s="97" customFormat="1" x14ac:dyDescent="0.25"/>
    <row r="572" s="97" customFormat="1" x14ac:dyDescent="0.25"/>
    <row r="573" s="97" customFormat="1" x14ac:dyDescent="0.25"/>
    <row r="574" s="97" customFormat="1" x14ac:dyDescent="0.25"/>
    <row r="575" s="97" customFormat="1" x14ac:dyDescent="0.25"/>
    <row r="576" s="97" customFormat="1" x14ac:dyDescent="0.25"/>
    <row r="577" s="97" customFormat="1" x14ac:dyDescent="0.25"/>
    <row r="578" s="97" customFormat="1" x14ac:dyDescent="0.25"/>
    <row r="579" s="97" customFormat="1" x14ac:dyDescent="0.25"/>
    <row r="580" s="97" customFormat="1" x14ac:dyDescent="0.25"/>
    <row r="581" s="97" customFormat="1" x14ac:dyDescent="0.25"/>
    <row r="582" s="97" customFormat="1" x14ac:dyDescent="0.25"/>
    <row r="583" s="97" customFormat="1" x14ac:dyDescent="0.25"/>
    <row r="584" s="97" customFormat="1" x14ac:dyDescent="0.25"/>
    <row r="585" s="97" customFormat="1" x14ac:dyDescent="0.25"/>
    <row r="586" s="97" customFormat="1" x14ac:dyDescent="0.25"/>
    <row r="587" s="97" customFormat="1" x14ac:dyDescent="0.25"/>
    <row r="588" s="97" customFormat="1" x14ac:dyDescent="0.25"/>
    <row r="589" s="97" customFormat="1" x14ac:dyDescent="0.25"/>
    <row r="590" s="97" customFormat="1" x14ac:dyDescent="0.25"/>
    <row r="591" s="97" customFormat="1" x14ac:dyDescent="0.25"/>
    <row r="592" s="97" customFormat="1" x14ac:dyDescent="0.25"/>
    <row r="593" s="97" customFormat="1" x14ac:dyDescent="0.25"/>
    <row r="594" s="97" customFormat="1" x14ac:dyDescent="0.25"/>
    <row r="595" s="97" customFormat="1" x14ac:dyDescent="0.25"/>
    <row r="596" s="97" customFormat="1" x14ac:dyDescent="0.25"/>
    <row r="597" s="97" customFormat="1" x14ac:dyDescent="0.25"/>
    <row r="598" s="97" customFormat="1" x14ac:dyDescent="0.25"/>
    <row r="599" s="97" customFormat="1" x14ac:dyDescent="0.25"/>
    <row r="600" s="97" customFormat="1" x14ac:dyDescent="0.25"/>
    <row r="601" s="97" customFormat="1" x14ac:dyDescent="0.25"/>
    <row r="602" s="97" customFormat="1" x14ac:dyDescent="0.25"/>
    <row r="603" s="97" customFormat="1" x14ac:dyDescent="0.25"/>
    <row r="604" s="97" customFormat="1" x14ac:dyDescent="0.25"/>
    <row r="605" s="97" customFormat="1" x14ac:dyDescent="0.25"/>
    <row r="606" s="97" customFormat="1" x14ac:dyDescent="0.25"/>
    <row r="607" s="97" customFormat="1" x14ac:dyDescent="0.25"/>
    <row r="608" s="97" customFormat="1" x14ac:dyDescent="0.25"/>
    <row r="609" s="97" customFormat="1" x14ac:dyDescent="0.25"/>
    <row r="610" s="97" customFormat="1" x14ac:dyDescent="0.25"/>
    <row r="611" s="97" customFormat="1" x14ac:dyDescent="0.25"/>
    <row r="612" s="97" customFormat="1" x14ac:dyDescent="0.25"/>
    <row r="613" s="97" customFormat="1" x14ac:dyDescent="0.25"/>
    <row r="614" s="97" customFormat="1" x14ac:dyDescent="0.25"/>
    <row r="615" s="97" customFormat="1" x14ac:dyDescent="0.25"/>
    <row r="616" s="97" customFormat="1" x14ac:dyDescent="0.25"/>
    <row r="617" s="97" customFormat="1" x14ac:dyDescent="0.25"/>
    <row r="618" s="97" customFormat="1" x14ac:dyDescent="0.25"/>
    <row r="619" s="97" customFormat="1" x14ac:dyDescent="0.25"/>
    <row r="620" s="97" customFormat="1" x14ac:dyDescent="0.25"/>
    <row r="621" s="97" customFormat="1" x14ac:dyDescent="0.25"/>
    <row r="622" s="97" customFormat="1" x14ac:dyDescent="0.25"/>
    <row r="623" s="97" customFormat="1" x14ac:dyDescent="0.25"/>
    <row r="624" s="97" customFormat="1" x14ac:dyDescent="0.25"/>
    <row r="625" s="97" customFormat="1" x14ac:dyDescent="0.25"/>
    <row r="626" s="97" customFormat="1" x14ac:dyDescent="0.25"/>
    <row r="627" s="97" customFormat="1" x14ac:dyDescent="0.25"/>
    <row r="628" s="97" customFormat="1" x14ac:dyDescent="0.25"/>
    <row r="629" s="97" customFormat="1" x14ac:dyDescent="0.25"/>
    <row r="630" s="97" customFormat="1" x14ac:dyDescent="0.25"/>
    <row r="631" s="97" customFormat="1" x14ac:dyDescent="0.25"/>
    <row r="632" s="97" customFormat="1" x14ac:dyDescent="0.25"/>
    <row r="633" s="97" customFormat="1" x14ac:dyDescent="0.25"/>
    <row r="634" s="97" customFormat="1" x14ac:dyDescent="0.25"/>
    <row r="635" s="97" customFormat="1" x14ac:dyDescent="0.25"/>
    <row r="636" s="97" customFormat="1" x14ac:dyDescent="0.25"/>
    <row r="637" s="97" customFormat="1" x14ac:dyDescent="0.25"/>
    <row r="638" s="97" customFormat="1" x14ac:dyDescent="0.25"/>
    <row r="639" s="97" customFormat="1" x14ac:dyDescent="0.25"/>
    <row r="640" s="97" customFormat="1" x14ac:dyDescent="0.25"/>
    <row r="641" s="97" customFormat="1" x14ac:dyDescent="0.25"/>
    <row r="642" s="97" customFormat="1" x14ac:dyDescent="0.25"/>
    <row r="643" s="97" customFormat="1" x14ac:dyDescent="0.25"/>
    <row r="644" s="97" customFormat="1" x14ac:dyDescent="0.25"/>
    <row r="645" s="97" customFormat="1" x14ac:dyDescent="0.25"/>
    <row r="646" s="97" customFormat="1" x14ac:dyDescent="0.25"/>
    <row r="647" s="97" customFormat="1" x14ac:dyDescent="0.25"/>
    <row r="648" s="97" customFormat="1" x14ac:dyDescent="0.25"/>
    <row r="649" s="97" customFormat="1" x14ac:dyDescent="0.25"/>
    <row r="650" s="97" customFormat="1" x14ac:dyDescent="0.25"/>
    <row r="651" s="97" customFormat="1" x14ac:dyDescent="0.25"/>
    <row r="652" s="97" customFormat="1" x14ac:dyDescent="0.25"/>
    <row r="653" s="97" customFormat="1" x14ac:dyDescent="0.25"/>
    <row r="654" s="97" customFormat="1" x14ac:dyDescent="0.25"/>
    <row r="655" s="97" customFormat="1" x14ac:dyDescent="0.25"/>
    <row r="656" s="97" customFormat="1" x14ac:dyDescent="0.25"/>
    <row r="657" s="97" customFormat="1" x14ac:dyDescent="0.25"/>
    <row r="658" s="97" customFormat="1" x14ac:dyDescent="0.25"/>
    <row r="659" s="97" customFormat="1" x14ac:dyDescent="0.25"/>
    <row r="660" s="97" customFormat="1" x14ac:dyDescent="0.25"/>
    <row r="661" s="97" customFormat="1" x14ac:dyDescent="0.25"/>
    <row r="662" s="97" customFormat="1" x14ac:dyDescent="0.25"/>
    <row r="663" s="97" customFormat="1" x14ac:dyDescent="0.25"/>
    <row r="664" s="97" customFormat="1" x14ac:dyDescent="0.25"/>
    <row r="665" s="97" customFormat="1" x14ac:dyDescent="0.25"/>
    <row r="666" s="97" customFormat="1" x14ac:dyDescent="0.25"/>
    <row r="667" s="97" customFormat="1" x14ac:dyDescent="0.25"/>
    <row r="668" s="97" customFormat="1" x14ac:dyDescent="0.25"/>
    <row r="669" s="97" customFormat="1" x14ac:dyDescent="0.25"/>
    <row r="670" s="97" customFormat="1" x14ac:dyDescent="0.25"/>
    <row r="671" s="97" customFormat="1" x14ac:dyDescent="0.25"/>
    <row r="672" s="97" customFormat="1" x14ac:dyDescent="0.25"/>
    <row r="673" s="97" customFormat="1" x14ac:dyDescent="0.25"/>
    <row r="674" s="97" customFormat="1" x14ac:dyDescent="0.25"/>
    <row r="675" s="97" customFormat="1" x14ac:dyDescent="0.25"/>
    <row r="676" s="97" customFormat="1" x14ac:dyDescent="0.25"/>
    <row r="677" s="97" customFormat="1" x14ac:dyDescent="0.25"/>
    <row r="678" s="97" customFormat="1" x14ac:dyDescent="0.25"/>
    <row r="679" s="97" customFormat="1" x14ac:dyDescent="0.25"/>
    <row r="680" s="97" customFormat="1" x14ac:dyDescent="0.25"/>
    <row r="681" s="97" customFormat="1" x14ac:dyDescent="0.25"/>
    <row r="682" s="97" customFormat="1" x14ac:dyDescent="0.25"/>
    <row r="683" s="97" customFormat="1" x14ac:dyDescent="0.25"/>
    <row r="684" s="97" customFormat="1" x14ac:dyDescent="0.25"/>
    <row r="685" s="97" customFormat="1" x14ac:dyDescent="0.25"/>
    <row r="686" s="97" customFormat="1" x14ac:dyDescent="0.25"/>
    <row r="687" s="97" customFormat="1" x14ac:dyDescent="0.25"/>
    <row r="688" s="97" customFormat="1" x14ac:dyDescent="0.25"/>
    <row r="689" s="97" customFormat="1" x14ac:dyDescent="0.25"/>
    <row r="690" s="97" customFormat="1" x14ac:dyDescent="0.25"/>
    <row r="691" s="97" customFormat="1" x14ac:dyDescent="0.25"/>
    <row r="692" s="97" customFormat="1" x14ac:dyDescent="0.25"/>
    <row r="693" s="97" customFormat="1" x14ac:dyDescent="0.25"/>
    <row r="694" s="97" customFormat="1" x14ac:dyDescent="0.25"/>
    <row r="695" s="97" customFormat="1" x14ac:dyDescent="0.25"/>
    <row r="696" s="97" customFormat="1" x14ac:dyDescent="0.25"/>
    <row r="697" s="97" customFormat="1" x14ac:dyDescent="0.25"/>
    <row r="698" s="97" customFormat="1" x14ac:dyDescent="0.25"/>
    <row r="699" s="97" customFormat="1" x14ac:dyDescent="0.25"/>
    <row r="700" s="97" customFormat="1" x14ac:dyDescent="0.25"/>
    <row r="701" s="97" customFormat="1" x14ac:dyDescent="0.25"/>
    <row r="702" s="97" customFormat="1" x14ac:dyDescent="0.25"/>
    <row r="703" s="97" customFormat="1" x14ac:dyDescent="0.25"/>
    <row r="704" s="97" customFormat="1" x14ac:dyDescent="0.25"/>
    <row r="705" s="97" customFormat="1" x14ac:dyDescent="0.25"/>
    <row r="706" s="97" customFormat="1" x14ac:dyDescent="0.25"/>
    <row r="707" s="97" customFormat="1" x14ac:dyDescent="0.25"/>
    <row r="708" s="97" customFormat="1" x14ac:dyDescent="0.25"/>
    <row r="709" s="97" customFormat="1" x14ac:dyDescent="0.25"/>
    <row r="710" s="97" customFormat="1" x14ac:dyDescent="0.25"/>
    <row r="711" s="97" customFormat="1" x14ac:dyDescent="0.25"/>
    <row r="712" s="97" customFormat="1" x14ac:dyDescent="0.25"/>
    <row r="713" s="97" customFormat="1" x14ac:dyDescent="0.25"/>
    <row r="714" s="97" customFormat="1" x14ac:dyDescent="0.25"/>
    <row r="715" s="97" customFormat="1" x14ac:dyDescent="0.25"/>
    <row r="716" s="97" customFormat="1" x14ac:dyDescent="0.25"/>
    <row r="717" s="97" customFormat="1" x14ac:dyDescent="0.25"/>
    <row r="718" s="97" customFormat="1" x14ac:dyDescent="0.25"/>
    <row r="719" s="97" customFormat="1" x14ac:dyDescent="0.25"/>
    <row r="720" s="97" customFormat="1" x14ac:dyDescent="0.25"/>
    <row r="721" s="97" customFormat="1" x14ac:dyDescent="0.25"/>
    <row r="722" s="97" customFormat="1" x14ac:dyDescent="0.25"/>
    <row r="723" s="97" customFormat="1" x14ac:dyDescent="0.25"/>
    <row r="724" s="97" customFormat="1" x14ac:dyDescent="0.25"/>
    <row r="725" s="97" customFormat="1" x14ac:dyDescent="0.25"/>
    <row r="726" s="97" customFormat="1" x14ac:dyDescent="0.25"/>
    <row r="727" s="97" customFormat="1" x14ac:dyDescent="0.25"/>
    <row r="728" s="97" customFormat="1" x14ac:dyDescent="0.25"/>
    <row r="729" s="97" customFormat="1" x14ac:dyDescent="0.25"/>
    <row r="730" s="97" customFormat="1" x14ac:dyDescent="0.25"/>
    <row r="731" s="97" customFormat="1" x14ac:dyDescent="0.25"/>
    <row r="732" s="97" customFormat="1" x14ac:dyDescent="0.25"/>
    <row r="733" s="97" customFormat="1" x14ac:dyDescent="0.25"/>
    <row r="734" s="97" customFormat="1" x14ac:dyDescent="0.25"/>
    <row r="735" s="97" customFormat="1" x14ac:dyDescent="0.25"/>
    <row r="736" s="97" customFormat="1" x14ac:dyDescent="0.25"/>
    <row r="737" s="97" customFormat="1" x14ac:dyDescent="0.25"/>
    <row r="738" s="97" customFormat="1" x14ac:dyDescent="0.25"/>
    <row r="739" s="97" customFormat="1" x14ac:dyDescent="0.25"/>
    <row r="740" s="97" customFormat="1" x14ac:dyDescent="0.25"/>
    <row r="741" s="97" customFormat="1" x14ac:dyDescent="0.25"/>
    <row r="742" s="97" customFormat="1" x14ac:dyDescent="0.25"/>
    <row r="743" s="97" customFormat="1" x14ac:dyDescent="0.25"/>
    <row r="744" s="97" customFormat="1" x14ac:dyDescent="0.25"/>
    <row r="745" s="97" customFormat="1" x14ac:dyDescent="0.25"/>
    <row r="746" s="97" customFormat="1" x14ac:dyDescent="0.25"/>
    <row r="747" s="97" customFormat="1" x14ac:dyDescent="0.25"/>
    <row r="748" s="97" customFormat="1" x14ac:dyDescent="0.25"/>
    <row r="749" s="97" customFormat="1" x14ac:dyDescent="0.25"/>
    <row r="750" s="97" customFormat="1" x14ac:dyDescent="0.25"/>
    <row r="751" s="97" customFormat="1" x14ac:dyDescent="0.25"/>
    <row r="752" s="97" customFormat="1" x14ac:dyDescent="0.25"/>
    <row r="753" s="97" customFormat="1" x14ac:dyDescent="0.25"/>
    <row r="754" s="97" customFormat="1" x14ac:dyDescent="0.25"/>
    <row r="755" s="97" customFormat="1" x14ac:dyDescent="0.25"/>
    <row r="756" s="97" customFormat="1" x14ac:dyDescent="0.25"/>
    <row r="757" s="97" customFormat="1" x14ac:dyDescent="0.25"/>
    <row r="758" s="97" customFormat="1" x14ac:dyDescent="0.25"/>
    <row r="759" s="97" customFormat="1" x14ac:dyDescent="0.25"/>
    <row r="760" s="97" customFormat="1" x14ac:dyDescent="0.25"/>
    <row r="761" s="97" customFormat="1" x14ac:dyDescent="0.25"/>
    <row r="762" s="97" customFormat="1" x14ac:dyDescent="0.25"/>
    <row r="763" s="97" customFormat="1" x14ac:dyDescent="0.25"/>
    <row r="764" s="97" customFormat="1" x14ac:dyDescent="0.25"/>
    <row r="765" s="97" customFormat="1" x14ac:dyDescent="0.25"/>
    <row r="766" s="97" customFormat="1" x14ac:dyDescent="0.25"/>
    <row r="767" s="97" customFormat="1" x14ac:dyDescent="0.25"/>
    <row r="768" s="97" customFormat="1" x14ac:dyDescent="0.25"/>
    <row r="769" s="97" customFormat="1" x14ac:dyDescent="0.25"/>
    <row r="770" s="97" customFormat="1" x14ac:dyDescent="0.25"/>
    <row r="771" s="97" customFormat="1" x14ac:dyDescent="0.25"/>
    <row r="772" s="97" customFormat="1" x14ac:dyDescent="0.25"/>
    <row r="773" s="97" customFormat="1" x14ac:dyDescent="0.25"/>
    <row r="774" s="97" customFormat="1" x14ac:dyDescent="0.25"/>
    <row r="775" s="97" customFormat="1" x14ac:dyDescent="0.25"/>
    <row r="776" s="97" customFormat="1" x14ac:dyDescent="0.25"/>
    <row r="777" s="97" customFormat="1" x14ac:dyDescent="0.25"/>
    <row r="778" s="97" customFormat="1" x14ac:dyDescent="0.25"/>
    <row r="779" s="97" customFormat="1" x14ac:dyDescent="0.25"/>
    <row r="780" s="97" customFormat="1" x14ac:dyDescent="0.25"/>
    <row r="781" s="97" customFormat="1" x14ac:dyDescent="0.25"/>
    <row r="782" s="97" customFormat="1" x14ac:dyDescent="0.25"/>
    <row r="783" s="97" customFormat="1" x14ac:dyDescent="0.25"/>
    <row r="784" s="97" customFormat="1" x14ac:dyDescent="0.25"/>
    <row r="785" s="97" customFormat="1" x14ac:dyDescent="0.25"/>
    <row r="786" s="97" customFormat="1" x14ac:dyDescent="0.25"/>
    <row r="787" s="97" customFormat="1" x14ac:dyDescent="0.25"/>
    <row r="788" s="97" customFormat="1" x14ac:dyDescent="0.25"/>
    <row r="789" s="97" customFormat="1" x14ac:dyDescent="0.25"/>
    <row r="790" s="97" customFormat="1" x14ac:dyDescent="0.25"/>
    <row r="791" s="97" customFormat="1" x14ac:dyDescent="0.25"/>
    <row r="792" s="97" customFormat="1" x14ac:dyDescent="0.25"/>
    <row r="793" s="97" customFormat="1" x14ac:dyDescent="0.25"/>
    <row r="794" s="97" customFormat="1" x14ac:dyDescent="0.25"/>
    <row r="795" s="97" customFormat="1" x14ac:dyDescent="0.25"/>
    <row r="796" s="97" customFormat="1" x14ac:dyDescent="0.25"/>
    <row r="797" s="97" customFormat="1" x14ac:dyDescent="0.25"/>
    <row r="798" s="97" customFormat="1" x14ac:dyDescent="0.25"/>
    <row r="799" s="97" customFormat="1" x14ac:dyDescent="0.25"/>
    <row r="800" s="97" customFormat="1" x14ac:dyDescent="0.25"/>
    <row r="801" s="97" customFormat="1" x14ac:dyDescent="0.25"/>
    <row r="802" s="97" customFormat="1" x14ac:dyDescent="0.25"/>
    <row r="803" s="97" customFormat="1" x14ac:dyDescent="0.25"/>
    <row r="804" s="97" customFormat="1" x14ac:dyDescent="0.25"/>
    <row r="805" s="97" customFormat="1" x14ac:dyDescent="0.25"/>
    <row r="806" s="97" customFormat="1" x14ac:dyDescent="0.25"/>
    <row r="807" s="97" customFormat="1" x14ac:dyDescent="0.25"/>
    <row r="808" s="97" customFormat="1" x14ac:dyDescent="0.25"/>
    <row r="809" s="97" customFormat="1" x14ac:dyDescent="0.25"/>
    <row r="810" s="97" customFormat="1" x14ac:dyDescent="0.25"/>
    <row r="811" s="97" customFormat="1" x14ac:dyDescent="0.25"/>
    <row r="812" s="97" customFormat="1" x14ac:dyDescent="0.25"/>
    <row r="813" s="97" customFormat="1" x14ac:dyDescent="0.25"/>
    <row r="814" s="97" customFormat="1" x14ac:dyDescent="0.25"/>
    <row r="815" s="97" customFormat="1" x14ac:dyDescent="0.25"/>
    <row r="816" s="97" customFormat="1" x14ac:dyDescent="0.25"/>
    <row r="817" s="97" customFormat="1" x14ac:dyDescent="0.25"/>
    <row r="818" s="97" customFormat="1" x14ac:dyDescent="0.25"/>
    <row r="819" s="97" customFormat="1" x14ac:dyDescent="0.25"/>
    <row r="820" s="97" customFormat="1" x14ac:dyDescent="0.25"/>
    <row r="821" s="97" customFormat="1" x14ac:dyDescent="0.25"/>
    <row r="822" s="97" customFormat="1" x14ac:dyDescent="0.25"/>
    <row r="823" s="97" customFormat="1" x14ac:dyDescent="0.25"/>
    <row r="824" s="97" customFormat="1" x14ac:dyDescent="0.25"/>
    <row r="825" s="97" customFormat="1" x14ac:dyDescent="0.25"/>
    <row r="826" s="97" customFormat="1" x14ac:dyDescent="0.25"/>
    <row r="827" s="97" customFormat="1" x14ac:dyDescent="0.25"/>
    <row r="828" s="97" customFormat="1" x14ac:dyDescent="0.25"/>
    <row r="829" s="97" customFormat="1" x14ac:dyDescent="0.25"/>
    <row r="830" s="97" customFormat="1" x14ac:dyDescent="0.25"/>
    <row r="831" s="97" customFormat="1" x14ac:dyDescent="0.25"/>
    <row r="832" s="97" customFormat="1" x14ac:dyDescent="0.25"/>
    <row r="833" s="97" customFormat="1" x14ac:dyDescent="0.25"/>
    <row r="834" s="97" customFormat="1" x14ac:dyDescent="0.25"/>
    <row r="835" s="97" customFormat="1" x14ac:dyDescent="0.25"/>
    <row r="836" s="97" customFormat="1" x14ac:dyDescent="0.25"/>
    <row r="837" s="97" customFormat="1" x14ac:dyDescent="0.25"/>
    <row r="838" s="97" customFormat="1" x14ac:dyDescent="0.25"/>
    <row r="839" s="97" customFormat="1" x14ac:dyDescent="0.25"/>
    <row r="840" s="97" customFormat="1" x14ac:dyDescent="0.25"/>
    <row r="841" s="97" customFormat="1" x14ac:dyDescent="0.25"/>
    <row r="842" s="97" customFormat="1" x14ac:dyDescent="0.25"/>
    <row r="843" s="97" customFormat="1" x14ac:dyDescent="0.25"/>
    <row r="844" s="97" customFormat="1" x14ac:dyDescent="0.25"/>
    <row r="845" s="97" customFormat="1" x14ac:dyDescent="0.25"/>
    <row r="846" s="97" customFormat="1" x14ac:dyDescent="0.25"/>
    <row r="847" s="97" customFormat="1" x14ac:dyDescent="0.25"/>
    <row r="848" s="97" customFormat="1" x14ac:dyDescent="0.25"/>
    <row r="849" s="97" customFormat="1" x14ac:dyDescent="0.25"/>
    <row r="850" s="97" customFormat="1" x14ac:dyDescent="0.25"/>
    <row r="851" s="97" customFormat="1" x14ac:dyDescent="0.25"/>
    <row r="852" s="97" customFormat="1" x14ac:dyDescent="0.25"/>
    <row r="853" s="97" customFormat="1" x14ac:dyDescent="0.25"/>
    <row r="854" s="97" customFormat="1" x14ac:dyDescent="0.25"/>
    <row r="855" s="97" customFormat="1" x14ac:dyDescent="0.25"/>
    <row r="856" s="97" customFormat="1" x14ac:dyDescent="0.25"/>
    <row r="857" s="97" customFormat="1" x14ac:dyDescent="0.25"/>
    <row r="858" s="97" customFormat="1" x14ac:dyDescent="0.25"/>
    <row r="859" s="97" customFormat="1" x14ac:dyDescent="0.25"/>
    <row r="860" s="97" customFormat="1" x14ac:dyDescent="0.25"/>
    <row r="861" s="97" customFormat="1" x14ac:dyDescent="0.25"/>
    <row r="862" s="97" customFormat="1" x14ac:dyDescent="0.25"/>
    <row r="863" s="97" customFormat="1" x14ac:dyDescent="0.25"/>
    <row r="864" s="97" customFormat="1" x14ac:dyDescent="0.25"/>
    <row r="865" s="97" customFormat="1" x14ac:dyDescent="0.25"/>
    <row r="866" s="97" customFormat="1" x14ac:dyDescent="0.25"/>
    <row r="867" s="97" customFormat="1" x14ac:dyDescent="0.25"/>
    <row r="868" s="97" customFormat="1" x14ac:dyDescent="0.25"/>
    <row r="869" s="97" customFormat="1" x14ac:dyDescent="0.25"/>
    <row r="870" s="97" customFormat="1" x14ac:dyDescent="0.25"/>
    <row r="871" s="97" customFormat="1" x14ac:dyDescent="0.25"/>
    <row r="872" s="97" customFormat="1" x14ac:dyDescent="0.25"/>
    <row r="873" s="97" customFormat="1" x14ac:dyDescent="0.25"/>
    <row r="874" s="97" customFormat="1" x14ac:dyDescent="0.25"/>
    <row r="875" s="97" customFormat="1" x14ac:dyDescent="0.25"/>
    <row r="876" s="97" customFormat="1" x14ac:dyDescent="0.25"/>
    <row r="877" s="97" customFormat="1" x14ac:dyDescent="0.25"/>
    <row r="878" s="97" customFormat="1" x14ac:dyDescent="0.25"/>
    <row r="879" s="97" customFormat="1" x14ac:dyDescent="0.25"/>
    <row r="880" s="97" customFormat="1" x14ac:dyDescent="0.25"/>
    <row r="881" s="97" customFormat="1" x14ac:dyDescent="0.25"/>
    <row r="882" s="97" customFormat="1" x14ac:dyDescent="0.25"/>
    <row r="883" s="97" customFormat="1" x14ac:dyDescent="0.25"/>
    <row r="884" s="97" customFormat="1" x14ac:dyDescent="0.25"/>
    <row r="885" s="97" customFormat="1" x14ac:dyDescent="0.25"/>
    <row r="886" s="97" customFormat="1" x14ac:dyDescent="0.25"/>
    <row r="887" s="97" customFormat="1" x14ac:dyDescent="0.25"/>
    <row r="888" s="97" customFormat="1" x14ac:dyDescent="0.25"/>
    <row r="889" s="97" customFormat="1" x14ac:dyDescent="0.25"/>
    <row r="890" s="97" customFormat="1" x14ac:dyDescent="0.25"/>
    <row r="891" s="97" customFormat="1" x14ac:dyDescent="0.25"/>
    <row r="892" s="97" customFormat="1" x14ac:dyDescent="0.25"/>
    <row r="893" s="97" customFormat="1" x14ac:dyDescent="0.25"/>
    <row r="894" s="97" customFormat="1" x14ac:dyDescent="0.25"/>
    <row r="895" s="97" customFormat="1" x14ac:dyDescent="0.25"/>
    <row r="896" s="97" customFormat="1" x14ac:dyDescent="0.25"/>
    <row r="897" s="97" customFormat="1" x14ac:dyDescent="0.25"/>
    <row r="898" s="97" customFormat="1" x14ac:dyDescent="0.25"/>
    <row r="899" s="97" customFormat="1" x14ac:dyDescent="0.25"/>
    <row r="900" s="97" customFormat="1" x14ac:dyDescent="0.25"/>
    <row r="901" s="97" customFormat="1" x14ac:dyDescent="0.25"/>
    <row r="902" s="97" customFormat="1" x14ac:dyDescent="0.25"/>
    <row r="903" s="97" customFormat="1" x14ac:dyDescent="0.25"/>
    <row r="904" s="97" customFormat="1" x14ac:dyDescent="0.25"/>
    <row r="905" s="97" customFormat="1" x14ac:dyDescent="0.25"/>
    <row r="906" s="97" customFormat="1" x14ac:dyDescent="0.25"/>
    <row r="907" s="97" customFormat="1" x14ac:dyDescent="0.25"/>
    <row r="908" s="97" customFormat="1" x14ac:dyDescent="0.25"/>
    <row r="909" s="97" customFormat="1" x14ac:dyDescent="0.25"/>
    <row r="910" s="97" customFormat="1" x14ac:dyDescent="0.25"/>
    <row r="911" s="97" customFormat="1" x14ac:dyDescent="0.25"/>
    <row r="912" s="97" customFormat="1" x14ac:dyDescent="0.25"/>
    <row r="913" s="97" customFormat="1" x14ac:dyDescent="0.25"/>
    <row r="914" s="97" customFormat="1" x14ac:dyDescent="0.25"/>
    <row r="915" s="97" customFormat="1" x14ac:dyDescent="0.25"/>
    <row r="916" s="97" customFormat="1" x14ac:dyDescent="0.25"/>
    <row r="917" s="97" customFormat="1" x14ac:dyDescent="0.25"/>
    <row r="918" s="97" customFormat="1" x14ac:dyDescent="0.25"/>
    <row r="919" s="97" customFormat="1" x14ac:dyDescent="0.25"/>
    <row r="920" s="97" customFormat="1" x14ac:dyDescent="0.25"/>
    <row r="921" s="97" customFormat="1" x14ac:dyDescent="0.25"/>
    <row r="922" s="97" customFormat="1" x14ac:dyDescent="0.25"/>
    <row r="923" s="97" customFormat="1" x14ac:dyDescent="0.25"/>
    <row r="924" s="97" customFormat="1" x14ac:dyDescent="0.25"/>
    <row r="925" s="97" customFormat="1" x14ac:dyDescent="0.25"/>
    <row r="926" s="97" customFormat="1" x14ac:dyDescent="0.25"/>
    <row r="927" s="97" customFormat="1" x14ac:dyDescent="0.25"/>
    <row r="928" s="97" customFormat="1" x14ac:dyDescent="0.25"/>
    <row r="929" s="97" customFormat="1" x14ac:dyDescent="0.25"/>
    <row r="930" s="97" customFormat="1" x14ac:dyDescent="0.25"/>
    <row r="931" s="97" customFormat="1" x14ac:dyDescent="0.25"/>
    <row r="932" s="97" customFormat="1" x14ac:dyDescent="0.25"/>
    <row r="933" s="97" customFormat="1" x14ac:dyDescent="0.25"/>
    <row r="934" s="97" customFormat="1" x14ac:dyDescent="0.25"/>
    <row r="935" s="97" customFormat="1" x14ac:dyDescent="0.25"/>
    <row r="936" s="97" customFormat="1" x14ac:dyDescent="0.25"/>
    <row r="937" s="97" customFormat="1" x14ac:dyDescent="0.25"/>
    <row r="938" s="97" customFormat="1" x14ac:dyDescent="0.25"/>
    <row r="939" s="97" customFormat="1" x14ac:dyDescent="0.25"/>
    <row r="940" s="97" customFormat="1" x14ac:dyDescent="0.25"/>
    <row r="941" s="97" customFormat="1" x14ac:dyDescent="0.25"/>
    <row r="942" s="97" customFormat="1" x14ac:dyDescent="0.25"/>
    <row r="943" s="97" customFormat="1" x14ac:dyDescent="0.25"/>
    <row r="944" s="97" customFormat="1" x14ac:dyDescent="0.25"/>
    <row r="945" s="97" customFormat="1" x14ac:dyDescent="0.25"/>
    <row r="946" s="97" customFormat="1" x14ac:dyDescent="0.25"/>
    <row r="947" s="97" customFormat="1" x14ac:dyDescent="0.25"/>
    <row r="948" s="97" customFormat="1" x14ac:dyDescent="0.25"/>
    <row r="949" s="97" customFormat="1" x14ac:dyDescent="0.25"/>
    <row r="950" s="97" customFormat="1" x14ac:dyDescent="0.25"/>
    <row r="951" s="97" customFormat="1" x14ac:dyDescent="0.25"/>
    <row r="952" s="97" customFormat="1" x14ac:dyDescent="0.25"/>
    <row r="953" s="97" customFormat="1" x14ac:dyDescent="0.25"/>
    <row r="954" s="97" customFormat="1" x14ac:dyDescent="0.25"/>
    <row r="955" s="97" customFormat="1" x14ac:dyDescent="0.25"/>
    <row r="956" s="97" customFormat="1" x14ac:dyDescent="0.25"/>
    <row r="957" s="97" customFormat="1" x14ac:dyDescent="0.25"/>
    <row r="958" s="97" customFormat="1" x14ac:dyDescent="0.25"/>
    <row r="959" s="97" customFormat="1" x14ac:dyDescent="0.25"/>
    <row r="960" s="97" customFormat="1" x14ac:dyDescent="0.25"/>
    <row r="961" s="97" customFormat="1" x14ac:dyDescent="0.25"/>
    <row r="962" s="97" customFormat="1" x14ac:dyDescent="0.25"/>
    <row r="963" s="97" customFormat="1" x14ac:dyDescent="0.25"/>
    <row r="964" s="97" customFormat="1" x14ac:dyDescent="0.25"/>
    <row r="965" s="97" customFormat="1" x14ac:dyDescent="0.25"/>
    <row r="966" s="97" customFormat="1" x14ac:dyDescent="0.25"/>
    <row r="967" s="97" customFormat="1" x14ac:dyDescent="0.25"/>
    <row r="968" s="97" customFormat="1" x14ac:dyDescent="0.25"/>
    <row r="969" s="97" customFormat="1" x14ac:dyDescent="0.25"/>
    <row r="970" s="97" customFormat="1" x14ac:dyDescent="0.25"/>
    <row r="971" s="97" customFormat="1" x14ac:dyDescent="0.25"/>
    <row r="972" s="97" customFormat="1" x14ac:dyDescent="0.25"/>
    <row r="973" s="97" customFormat="1" x14ac:dyDescent="0.25"/>
    <row r="974" s="97" customFormat="1" x14ac:dyDescent="0.25"/>
    <row r="975" s="97" customFormat="1" x14ac:dyDescent="0.25"/>
    <row r="976" s="97" customFormat="1" x14ac:dyDescent="0.25"/>
    <row r="977" s="97" customFormat="1" x14ac:dyDescent="0.25"/>
    <row r="978" s="97" customFormat="1" x14ac:dyDescent="0.25"/>
    <row r="979" s="97" customFormat="1" x14ac:dyDescent="0.25"/>
    <row r="980" s="97" customFormat="1" x14ac:dyDescent="0.25"/>
    <row r="981" s="97" customFormat="1" x14ac:dyDescent="0.25"/>
    <row r="982" s="97" customFormat="1" x14ac:dyDescent="0.25"/>
    <row r="983" s="97" customFormat="1" x14ac:dyDescent="0.25"/>
    <row r="984" s="97" customFormat="1" x14ac:dyDescent="0.25"/>
    <row r="985" s="97" customFormat="1" x14ac:dyDescent="0.25"/>
    <row r="986" s="97" customFormat="1" x14ac:dyDescent="0.25"/>
    <row r="987" s="97" customFormat="1" x14ac:dyDescent="0.25"/>
    <row r="988" s="97" customFormat="1" x14ac:dyDescent="0.25"/>
    <row r="989" s="97" customFormat="1" x14ac:dyDescent="0.25"/>
    <row r="990" s="97" customFormat="1" x14ac:dyDescent="0.25"/>
    <row r="991" s="97" customFormat="1" x14ac:dyDescent="0.25"/>
    <row r="992" s="97" customFormat="1" x14ac:dyDescent="0.25"/>
    <row r="993" s="97" customFormat="1" x14ac:dyDescent="0.25"/>
    <row r="994" s="97" customFormat="1" x14ac:dyDescent="0.25"/>
    <row r="995" s="97" customFormat="1" x14ac:dyDescent="0.25"/>
    <row r="996" s="97" customFormat="1" x14ac:dyDescent="0.25"/>
    <row r="997" s="97" customFormat="1" x14ac:dyDescent="0.25"/>
    <row r="998" s="97" customFormat="1" x14ac:dyDescent="0.25"/>
    <row r="999" s="97" customFormat="1" x14ac:dyDescent="0.25"/>
    <row r="1000" s="97" customFormat="1" x14ac:dyDescent="0.25"/>
    <row r="1001" s="97" customFormat="1" x14ac:dyDescent="0.25"/>
    <row r="1002" s="97" customFormat="1" x14ac:dyDescent="0.25"/>
    <row r="1003" s="97" customFormat="1" x14ac:dyDescent="0.25"/>
    <row r="1004" s="97" customFormat="1" x14ac:dyDescent="0.25"/>
    <row r="1005" s="97" customFormat="1" x14ac:dyDescent="0.25"/>
    <row r="1006" s="97" customFormat="1" x14ac:dyDescent="0.25"/>
    <row r="1007" s="97" customFormat="1" x14ac:dyDescent="0.25"/>
    <row r="1008" s="97" customFormat="1" x14ac:dyDescent="0.25"/>
    <row r="1009" s="97" customFormat="1" x14ac:dyDescent="0.25"/>
    <row r="1010" s="97" customFormat="1" x14ac:dyDescent="0.25"/>
    <row r="1011" s="97" customFormat="1" x14ac:dyDescent="0.25"/>
    <row r="1012" s="97" customFormat="1" x14ac:dyDescent="0.25"/>
    <row r="1013" s="97" customFormat="1" x14ac:dyDescent="0.25"/>
    <row r="1014" s="97" customFormat="1" x14ac:dyDescent="0.25"/>
    <row r="1015" s="97" customFormat="1" x14ac:dyDescent="0.25"/>
    <row r="1016" s="97" customFormat="1" x14ac:dyDescent="0.25"/>
    <row r="1017" s="97" customFormat="1" x14ac:dyDescent="0.25"/>
    <row r="1018" s="97" customFormat="1" x14ac:dyDescent="0.25"/>
    <row r="1019" s="97" customFormat="1" x14ac:dyDescent="0.25"/>
    <row r="1020" s="97" customFormat="1" x14ac:dyDescent="0.25"/>
    <row r="1021" s="97" customFormat="1" x14ac:dyDescent="0.25"/>
    <row r="1022" s="97" customFormat="1" x14ac:dyDescent="0.25"/>
    <row r="1023" s="97" customFormat="1" x14ac:dyDescent="0.25"/>
    <row r="1024" s="97" customFormat="1" x14ac:dyDescent="0.25"/>
    <row r="1025" s="97" customFormat="1" x14ac:dyDescent="0.25"/>
    <row r="1026" s="97" customFormat="1" x14ac:dyDescent="0.25"/>
    <row r="1027" s="97" customFormat="1" x14ac:dyDescent="0.25"/>
    <row r="1028" s="97" customFormat="1" x14ac:dyDescent="0.25"/>
    <row r="1029" s="97" customFormat="1" x14ac:dyDescent="0.25"/>
    <row r="1030" s="97" customFormat="1" x14ac:dyDescent="0.25"/>
    <row r="1031" s="97" customFormat="1" x14ac:dyDescent="0.25"/>
    <row r="1032" s="97" customFormat="1" x14ac:dyDescent="0.25"/>
    <row r="1033" s="97" customFormat="1" x14ac:dyDescent="0.25"/>
    <row r="1034" s="97" customFormat="1" x14ac:dyDescent="0.25"/>
    <row r="1035" s="97" customFormat="1" x14ac:dyDescent="0.25"/>
    <row r="1036" s="97" customFormat="1" x14ac:dyDescent="0.25"/>
    <row r="1037" s="97" customFormat="1" x14ac:dyDescent="0.25"/>
    <row r="1038" s="97" customFormat="1" x14ac:dyDescent="0.25"/>
    <row r="1039" s="97" customFormat="1" x14ac:dyDescent="0.25"/>
    <row r="1040" s="97" customFormat="1" x14ac:dyDescent="0.25"/>
    <row r="1041" s="97" customFormat="1" x14ac:dyDescent="0.25"/>
    <row r="1042" s="97" customFormat="1" x14ac:dyDescent="0.25"/>
    <row r="1043" s="97" customFormat="1" x14ac:dyDescent="0.25"/>
    <row r="1044" s="97" customFormat="1" x14ac:dyDescent="0.25"/>
    <row r="1045" s="97" customFormat="1" x14ac:dyDescent="0.25"/>
    <row r="1046" s="97" customFormat="1" x14ac:dyDescent="0.25"/>
    <row r="1047" s="97" customFormat="1" x14ac:dyDescent="0.25"/>
    <row r="1048" s="97" customFormat="1" x14ac:dyDescent="0.25"/>
    <row r="1049" s="97" customFormat="1" x14ac:dyDescent="0.25"/>
    <row r="1050" s="97" customFormat="1" x14ac:dyDescent="0.25"/>
    <row r="1051" s="97" customFormat="1" x14ac:dyDescent="0.25"/>
    <row r="1052" s="97" customFormat="1" x14ac:dyDescent="0.25"/>
    <row r="1053" s="97" customFormat="1" x14ac:dyDescent="0.25"/>
    <row r="1054" s="97" customFormat="1" x14ac:dyDescent="0.25"/>
    <row r="1055" s="97" customFormat="1" x14ac:dyDescent="0.25"/>
    <row r="1056" s="97" customFormat="1" x14ac:dyDescent="0.25"/>
    <row r="1057" s="97" customFormat="1" x14ac:dyDescent="0.25"/>
    <row r="1058" s="97" customFormat="1" x14ac:dyDescent="0.25"/>
    <row r="1059" s="97" customFormat="1" x14ac:dyDescent="0.25"/>
    <row r="1060" s="97" customFormat="1" x14ac:dyDescent="0.25"/>
    <row r="1061" s="97" customFormat="1" x14ac:dyDescent="0.25"/>
    <row r="1062" s="97" customFormat="1" x14ac:dyDescent="0.25"/>
    <row r="1063" s="97" customFormat="1" x14ac:dyDescent="0.25"/>
    <row r="1064" s="97" customFormat="1" x14ac:dyDescent="0.25"/>
    <row r="1065" s="97" customFormat="1" x14ac:dyDescent="0.25"/>
    <row r="1066" s="97" customFormat="1" x14ac:dyDescent="0.25"/>
    <row r="1067" s="97" customFormat="1" x14ac:dyDescent="0.25"/>
    <row r="1068" s="97" customFormat="1" x14ac:dyDescent="0.25"/>
    <row r="1069" s="97" customFormat="1" x14ac:dyDescent="0.25"/>
    <row r="1070" s="97" customFormat="1" x14ac:dyDescent="0.25"/>
    <row r="1071" s="97" customFormat="1" x14ac:dyDescent="0.25"/>
    <row r="1072" s="97" customFormat="1" x14ac:dyDescent="0.25"/>
    <row r="1073" s="97" customFormat="1" x14ac:dyDescent="0.25"/>
    <row r="1074" s="97" customFormat="1" x14ac:dyDescent="0.25"/>
    <row r="1075" s="97" customFormat="1" x14ac:dyDescent="0.25"/>
    <row r="1076" s="97" customFormat="1" x14ac:dyDescent="0.25"/>
    <row r="1077" s="97" customFormat="1" x14ac:dyDescent="0.25"/>
    <row r="1078" s="97" customFormat="1" x14ac:dyDescent="0.25"/>
    <row r="1079" s="97" customFormat="1" x14ac:dyDescent="0.25"/>
    <row r="1080" s="97" customFormat="1" x14ac:dyDescent="0.25"/>
    <row r="1081" s="97" customFormat="1" x14ac:dyDescent="0.25"/>
    <row r="1082" s="97" customFormat="1" x14ac:dyDescent="0.25"/>
    <row r="1083" s="97" customFormat="1" x14ac:dyDescent="0.25"/>
    <row r="1084" s="97" customFormat="1" x14ac:dyDescent="0.25"/>
    <row r="1085" s="97" customFormat="1" x14ac:dyDescent="0.25"/>
    <row r="1086" s="97" customFormat="1" x14ac:dyDescent="0.25"/>
    <row r="1087" s="97" customFormat="1" x14ac:dyDescent="0.25"/>
    <row r="1088" s="97" customFormat="1" x14ac:dyDescent="0.25"/>
    <row r="1089" s="97" customFormat="1" x14ac:dyDescent="0.25"/>
    <row r="1090" s="97" customFormat="1" x14ac:dyDescent="0.25"/>
    <row r="1091" s="97" customFormat="1" x14ac:dyDescent="0.25"/>
    <row r="1092" s="97" customFormat="1" x14ac:dyDescent="0.25"/>
    <row r="1093" s="97" customFormat="1" x14ac:dyDescent="0.25"/>
    <row r="1094" s="97" customFormat="1" x14ac:dyDescent="0.25"/>
    <row r="1095" s="97" customFormat="1" x14ac:dyDescent="0.25"/>
    <row r="1096" s="97" customFormat="1" x14ac:dyDescent="0.25"/>
    <row r="1097" s="97" customFormat="1" x14ac:dyDescent="0.25"/>
    <row r="1098" s="97" customFormat="1" x14ac:dyDescent="0.25"/>
    <row r="1099" s="97" customFormat="1" x14ac:dyDescent="0.25"/>
    <row r="1100" s="97" customFormat="1" x14ac:dyDescent="0.25"/>
    <row r="1101" s="97" customFormat="1" x14ac:dyDescent="0.25"/>
    <row r="1102" s="97" customFormat="1" x14ac:dyDescent="0.25"/>
    <row r="1103" s="97" customFormat="1" x14ac:dyDescent="0.25"/>
    <row r="1104" s="97" customFormat="1" x14ac:dyDescent="0.25"/>
    <row r="1105" s="97" customFormat="1" x14ac:dyDescent="0.25"/>
    <row r="1106" s="97" customFormat="1" x14ac:dyDescent="0.25"/>
    <row r="1107" s="97" customFormat="1" x14ac:dyDescent="0.25"/>
    <row r="1108" s="97" customFormat="1" x14ac:dyDescent="0.25"/>
    <row r="1109" s="97" customFormat="1" x14ac:dyDescent="0.25"/>
    <row r="1110" s="97" customFormat="1" x14ac:dyDescent="0.25"/>
    <row r="1111" s="97" customFormat="1" x14ac:dyDescent="0.25"/>
    <row r="1112" s="97" customFormat="1" x14ac:dyDescent="0.25"/>
    <row r="1113" s="97" customFormat="1" x14ac:dyDescent="0.25"/>
    <row r="1114" s="97" customFormat="1" x14ac:dyDescent="0.25"/>
    <row r="1115" s="97" customFormat="1" x14ac:dyDescent="0.25"/>
    <row r="1116" s="97" customFormat="1" x14ac:dyDescent="0.25"/>
    <row r="1117" s="97" customFormat="1" x14ac:dyDescent="0.25"/>
    <row r="1118" s="97" customFormat="1" x14ac:dyDescent="0.25"/>
    <row r="1119" s="97" customFormat="1" x14ac:dyDescent="0.25"/>
    <row r="1120" s="97" customFormat="1" x14ac:dyDescent="0.25"/>
    <row r="1121" s="97" customFormat="1" x14ac:dyDescent="0.25"/>
    <row r="1122" s="97" customFormat="1" x14ac:dyDescent="0.25"/>
    <row r="1123" s="97" customFormat="1" x14ac:dyDescent="0.25"/>
    <row r="1124" s="97" customFormat="1" x14ac:dyDescent="0.25"/>
    <row r="1125" s="97" customFormat="1" x14ac:dyDescent="0.25"/>
    <row r="1126" s="97" customFormat="1" x14ac:dyDescent="0.25"/>
    <row r="1127" s="97" customFormat="1" x14ac:dyDescent="0.25"/>
    <row r="1128" s="97" customFormat="1" x14ac:dyDescent="0.25"/>
    <row r="1129" s="97" customFormat="1" x14ac:dyDescent="0.25"/>
    <row r="1130" s="97" customFormat="1" x14ac:dyDescent="0.25"/>
    <row r="1131" s="97" customFormat="1" x14ac:dyDescent="0.25"/>
    <row r="1132" s="97" customFormat="1" x14ac:dyDescent="0.25"/>
    <row r="1133" s="97" customFormat="1" x14ac:dyDescent="0.25"/>
    <row r="1134" s="97" customFormat="1" x14ac:dyDescent="0.25"/>
    <row r="1135" s="97" customFormat="1" x14ac:dyDescent="0.25"/>
    <row r="1136" s="97" customFormat="1" x14ac:dyDescent="0.25"/>
    <row r="1137" s="97" customFormat="1" x14ac:dyDescent="0.25"/>
    <row r="1138" s="97" customFormat="1" x14ac:dyDescent="0.25"/>
    <row r="1139" s="97" customFormat="1" x14ac:dyDescent="0.25"/>
    <row r="1140" s="97" customFormat="1" x14ac:dyDescent="0.25"/>
    <row r="1141" s="97" customFormat="1" x14ac:dyDescent="0.25"/>
    <row r="1142" s="97" customFormat="1" x14ac:dyDescent="0.25"/>
    <row r="1143" s="97" customFormat="1" x14ac:dyDescent="0.25"/>
    <row r="1144" s="97" customFormat="1" x14ac:dyDescent="0.25"/>
    <row r="1145" s="97" customFormat="1" x14ac:dyDescent="0.25"/>
    <row r="1146" s="97" customFormat="1" x14ac:dyDescent="0.25"/>
    <row r="1147" s="97" customFormat="1" x14ac:dyDescent="0.25"/>
    <row r="1148" s="97" customFormat="1" x14ac:dyDescent="0.25"/>
    <row r="1149" s="97" customFormat="1" x14ac:dyDescent="0.25"/>
    <row r="1150" s="97" customFormat="1" x14ac:dyDescent="0.25"/>
    <row r="1151" s="97" customFormat="1" x14ac:dyDescent="0.25"/>
    <row r="1152" s="97" customFormat="1" x14ac:dyDescent="0.25"/>
    <row r="1153" s="97" customFormat="1" x14ac:dyDescent="0.25"/>
    <row r="1154" s="97" customFormat="1" x14ac:dyDescent="0.25"/>
    <row r="1155" s="97" customFormat="1" x14ac:dyDescent="0.25"/>
    <row r="1156" s="97" customFormat="1" x14ac:dyDescent="0.25"/>
    <row r="1157" s="97" customFormat="1" x14ac:dyDescent="0.25"/>
    <row r="1158" s="97" customFormat="1" x14ac:dyDescent="0.25"/>
    <row r="1159" s="97" customFormat="1" x14ac:dyDescent="0.25"/>
    <row r="1160" s="97" customFormat="1" x14ac:dyDescent="0.25"/>
    <row r="1161" s="97" customFormat="1" x14ac:dyDescent="0.25"/>
    <row r="1162" s="97" customFormat="1" x14ac:dyDescent="0.25"/>
    <row r="1163" s="97" customFormat="1" x14ac:dyDescent="0.25"/>
    <row r="1164" s="97" customFormat="1" x14ac:dyDescent="0.25"/>
    <row r="1165" s="97" customFormat="1" x14ac:dyDescent="0.25"/>
    <row r="1166" s="97" customFormat="1" x14ac:dyDescent="0.25"/>
    <row r="1167" s="97" customFormat="1" x14ac:dyDescent="0.25"/>
    <row r="1168" s="97" customFormat="1" x14ac:dyDescent="0.25"/>
    <row r="1169" s="97" customFormat="1" x14ac:dyDescent="0.25"/>
    <row r="1170" s="97" customFormat="1" x14ac:dyDescent="0.25"/>
    <row r="1171" s="97" customFormat="1" x14ac:dyDescent="0.25"/>
    <row r="1172" s="97" customFormat="1" x14ac:dyDescent="0.25"/>
    <row r="1173" s="97" customFormat="1" x14ac:dyDescent="0.25"/>
    <row r="1174" s="97" customFormat="1" x14ac:dyDescent="0.25"/>
    <row r="1175" s="97" customFormat="1" x14ac:dyDescent="0.25"/>
    <row r="1176" s="97" customFormat="1" x14ac:dyDescent="0.25"/>
    <row r="1177" s="97" customFormat="1" x14ac:dyDescent="0.25"/>
    <row r="1178" s="97" customFormat="1" x14ac:dyDescent="0.25"/>
    <row r="1179" s="97" customFormat="1" x14ac:dyDescent="0.25"/>
    <row r="1180" s="97" customFormat="1" x14ac:dyDescent="0.25"/>
    <row r="1181" s="97" customFormat="1" x14ac:dyDescent="0.25"/>
    <row r="1182" s="97" customFormat="1" x14ac:dyDescent="0.25"/>
    <row r="1183" s="97" customFormat="1" x14ac:dyDescent="0.25"/>
    <row r="1184" s="97" customFormat="1" x14ac:dyDescent="0.25"/>
    <row r="1185" s="97" customFormat="1" x14ac:dyDescent="0.25"/>
    <row r="1186" s="97" customFormat="1" x14ac:dyDescent="0.25"/>
    <row r="1187" s="97" customFormat="1" x14ac:dyDescent="0.25"/>
    <row r="1188" s="97" customFormat="1" x14ac:dyDescent="0.25"/>
    <row r="1189" s="97" customFormat="1" x14ac:dyDescent="0.25"/>
    <row r="1190" s="97" customFormat="1" x14ac:dyDescent="0.25"/>
    <row r="1191" s="97" customFormat="1" x14ac:dyDescent="0.25"/>
    <row r="1192" s="97" customFormat="1" x14ac:dyDescent="0.25"/>
    <row r="1193" s="97" customFormat="1" x14ac:dyDescent="0.25"/>
    <row r="1194" s="97" customFormat="1" x14ac:dyDescent="0.25"/>
    <row r="1195" s="97" customFormat="1" x14ac:dyDescent="0.25"/>
    <row r="1196" s="97" customFormat="1" x14ac:dyDescent="0.25"/>
    <row r="1197" s="97" customFormat="1" x14ac:dyDescent="0.25"/>
    <row r="1198" s="97" customFormat="1" x14ac:dyDescent="0.25"/>
    <row r="1199" s="97" customFormat="1" x14ac:dyDescent="0.25"/>
    <row r="1200" s="97" customFormat="1" x14ac:dyDescent="0.25"/>
    <row r="1201" s="97" customFormat="1" x14ac:dyDescent="0.25"/>
    <row r="1202" s="97" customFormat="1" x14ac:dyDescent="0.25"/>
    <row r="1203" s="97" customFormat="1" x14ac:dyDescent="0.25"/>
    <row r="1204" s="97" customFormat="1" x14ac:dyDescent="0.25"/>
    <row r="1205" s="97" customFormat="1" x14ac:dyDescent="0.25"/>
    <row r="1206" s="97" customFormat="1" x14ac:dyDescent="0.25"/>
    <row r="1207" s="97" customFormat="1" x14ac:dyDescent="0.25"/>
    <row r="1208" s="97" customFormat="1" x14ac:dyDescent="0.25"/>
    <row r="1209" s="97" customFormat="1" x14ac:dyDescent="0.25"/>
    <row r="1210" s="97" customFormat="1" x14ac:dyDescent="0.25"/>
    <row r="1211" s="97" customFormat="1" x14ac:dyDescent="0.25"/>
    <row r="1212" s="97" customFormat="1" x14ac:dyDescent="0.25"/>
    <row r="1213" s="97" customFormat="1" x14ac:dyDescent="0.25"/>
    <row r="1214" s="97" customFormat="1" x14ac:dyDescent="0.25"/>
    <row r="1215" s="97" customFormat="1" x14ac:dyDescent="0.25"/>
    <row r="1216" s="97" customFormat="1" x14ac:dyDescent="0.25"/>
    <row r="1217" s="97" customFormat="1" x14ac:dyDescent="0.25"/>
    <row r="1218" s="97" customFormat="1" x14ac:dyDescent="0.25"/>
    <row r="1219" s="97" customFormat="1" x14ac:dyDescent="0.25"/>
    <row r="1220" s="97" customFormat="1" x14ac:dyDescent="0.25"/>
    <row r="1221" s="97" customFormat="1" x14ac:dyDescent="0.25"/>
    <row r="1222" s="97" customFormat="1" x14ac:dyDescent="0.25"/>
    <row r="1223" s="97" customFormat="1" x14ac:dyDescent="0.25"/>
    <row r="1224" s="97" customFormat="1" x14ac:dyDescent="0.25"/>
    <row r="1225" s="97" customFormat="1" x14ac:dyDescent="0.25"/>
    <row r="1226" s="97" customFormat="1" x14ac:dyDescent="0.25"/>
    <row r="1227" s="97" customFormat="1" x14ac:dyDescent="0.25"/>
    <row r="1228" s="97" customFormat="1" x14ac:dyDescent="0.25"/>
    <row r="1229" s="97" customFormat="1" x14ac:dyDescent="0.25"/>
    <row r="1230" s="97" customFormat="1" x14ac:dyDescent="0.25"/>
    <row r="1231" s="97" customFormat="1" x14ac:dyDescent="0.25"/>
    <row r="1232" s="97" customFormat="1" x14ac:dyDescent="0.25"/>
    <row r="1233" s="97" customFormat="1" x14ac:dyDescent="0.25"/>
    <row r="1234" s="97" customFormat="1" x14ac:dyDescent="0.25"/>
    <row r="1235" s="97" customFormat="1" x14ac:dyDescent="0.25"/>
    <row r="1236" s="97" customFormat="1" x14ac:dyDescent="0.25"/>
    <row r="1237" s="97" customFormat="1" x14ac:dyDescent="0.25"/>
    <row r="1238" s="97" customFormat="1" x14ac:dyDescent="0.25"/>
    <row r="1239" s="97" customFormat="1" x14ac:dyDescent="0.25"/>
    <row r="1240" s="97" customFormat="1" x14ac:dyDescent="0.25"/>
    <row r="1241" s="97" customFormat="1" x14ac:dyDescent="0.25"/>
    <row r="1242" s="97" customFormat="1" x14ac:dyDescent="0.25"/>
    <row r="1243" s="97" customFormat="1" x14ac:dyDescent="0.25"/>
    <row r="1244" s="97" customFormat="1" x14ac:dyDescent="0.25"/>
    <row r="1245" s="97" customFormat="1" x14ac:dyDescent="0.25"/>
    <row r="1246" s="97" customFormat="1" x14ac:dyDescent="0.25"/>
    <row r="1247" s="97" customFormat="1" x14ac:dyDescent="0.25"/>
    <row r="1248" s="97" customFormat="1" x14ac:dyDescent="0.25"/>
    <row r="1249" s="97" customFormat="1" x14ac:dyDescent="0.25"/>
    <row r="1250" s="97" customFormat="1" x14ac:dyDescent="0.25"/>
    <row r="1251" s="97" customFormat="1" x14ac:dyDescent="0.25"/>
    <row r="1252" s="97" customFormat="1" x14ac:dyDescent="0.25"/>
    <row r="1253" s="97" customFormat="1" x14ac:dyDescent="0.25"/>
    <row r="1254" s="97" customFormat="1" x14ac:dyDescent="0.25"/>
    <row r="1255" s="97" customFormat="1" x14ac:dyDescent="0.25"/>
    <row r="1256" s="97" customFormat="1" x14ac:dyDescent="0.25"/>
    <row r="1257" s="97" customFormat="1" x14ac:dyDescent="0.25"/>
    <row r="1258" s="97" customFormat="1" x14ac:dyDescent="0.25"/>
    <row r="1259" s="97" customFormat="1" x14ac:dyDescent="0.25"/>
    <row r="1260" s="97" customFormat="1" x14ac:dyDescent="0.25"/>
    <row r="1261" s="97" customFormat="1" x14ac:dyDescent="0.25"/>
    <row r="1262" s="97" customFormat="1" x14ac:dyDescent="0.25"/>
    <row r="1263" s="97" customFormat="1" x14ac:dyDescent="0.25"/>
    <row r="1264" s="97" customFormat="1" x14ac:dyDescent="0.25"/>
    <row r="1265" s="97" customFormat="1" x14ac:dyDescent="0.25"/>
    <row r="1266" s="97" customFormat="1" x14ac:dyDescent="0.25"/>
    <row r="1267" s="97" customFormat="1" x14ac:dyDescent="0.25"/>
    <row r="1268" s="97" customFormat="1" x14ac:dyDescent="0.25"/>
    <row r="1269" s="97" customFormat="1" x14ac:dyDescent="0.25"/>
    <row r="1270" s="97" customFormat="1" x14ac:dyDescent="0.25"/>
    <row r="1271" s="97" customFormat="1" x14ac:dyDescent="0.25"/>
    <row r="1272" s="97" customFormat="1" x14ac:dyDescent="0.25"/>
    <row r="1273" s="97" customFormat="1" x14ac:dyDescent="0.25"/>
    <row r="1274" s="97" customFormat="1" x14ac:dyDescent="0.25"/>
    <row r="1275" s="97" customFormat="1" x14ac:dyDescent="0.25"/>
    <row r="1276" s="97" customFormat="1" x14ac:dyDescent="0.25"/>
    <row r="1277" s="97" customFormat="1" x14ac:dyDescent="0.25"/>
    <row r="1278" s="97" customFormat="1" x14ac:dyDescent="0.25"/>
    <row r="1279" s="97" customFormat="1" x14ac:dyDescent="0.25"/>
    <row r="1280" s="97" customFormat="1" x14ac:dyDescent="0.25"/>
    <row r="1281" s="97" customFormat="1" x14ac:dyDescent="0.25"/>
    <row r="1282" s="97" customFormat="1" x14ac:dyDescent="0.25"/>
    <row r="1283" s="97" customFormat="1" x14ac:dyDescent="0.25"/>
    <row r="1284" s="97" customFormat="1" x14ac:dyDescent="0.25"/>
    <row r="1285" s="97" customFormat="1" x14ac:dyDescent="0.25"/>
    <row r="1286" s="97" customFormat="1" x14ac:dyDescent="0.25"/>
    <row r="1287" s="97" customFormat="1" x14ac:dyDescent="0.25"/>
    <row r="1288" s="97" customFormat="1" x14ac:dyDescent="0.25"/>
    <row r="1289" s="97" customFormat="1" x14ac:dyDescent="0.25"/>
    <row r="1290" s="97" customFormat="1" x14ac:dyDescent="0.25"/>
    <row r="1291" s="97" customFormat="1" x14ac:dyDescent="0.25"/>
    <row r="1292" s="97" customFormat="1" x14ac:dyDescent="0.25"/>
    <row r="1293" s="97" customFormat="1" x14ac:dyDescent="0.25"/>
    <row r="1294" s="97" customFormat="1" x14ac:dyDescent="0.25"/>
    <row r="1295" s="97" customFormat="1" x14ac:dyDescent="0.25"/>
    <row r="1296" s="97" customFormat="1" x14ac:dyDescent="0.25"/>
    <row r="1297" s="97" customFormat="1" x14ac:dyDescent="0.25"/>
    <row r="1298" s="97" customFormat="1" x14ac:dyDescent="0.25"/>
    <row r="1299" s="97" customFormat="1" x14ac:dyDescent="0.25"/>
    <row r="1300" s="97" customFormat="1" x14ac:dyDescent="0.25"/>
    <row r="1301" s="97" customFormat="1" x14ac:dyDescent="0.25"/>
    <row r="1302" s="97" customFormat="1" x14ac:dyDescent="0.25"/>
    <row r="1303" s="97" customFormat="1" x14ac:dyDescent="0.25"/>
    <row r="1304" s="97" customFormat="1" x14ac:dyDescent="0.25"/>
    <row r="1305" s="97" customFormat="1" x14ac:dyDescent="0.25"/>
    <row r="1306" s="97" customFormat="1" x14ac:dyDescent="0.25"/>
    <row r="1307" s="97" customFormat="1" x14ac:dyDescent="0.25"/>
    <row r="1308" s="97" customFormat="1" x14ac:dyDescent="0.25"/>
    <row r="1309" s="97" customFormat="1" x14ac:dyDescent="0.25"/>
    <row r="1310" s="97" customFormat="1" x14ac:dyDescent="0.25"/>
    <row r="1311" s="97" customFormat="1" x14ac:dyDescent="0.25"/>
    <row r="1312" s="97" customFormat="1" x14ac:dyDescent="0.25"/>
    <row r="1313" s="97" customFormat="1" x14ac:dyDescent="0.25"/>
    <row r="1314" s="97" customFormat="1" x14ac:dyDescent="0.25"/>
    <row r="1315" s="97" customFormat="1" x14ac:dyDescent="0.25"/>
    <row r="1316" s="97" customFormat="1" x14ac:dyDescent="0.25"/>
    <row r="1317" s="97" customFormat="1" x14ac:dyDescent="0.25"/>
    <row r="1318" s="97" customFormat="1" x14ac:dyDescent="0.25"/>
    <row r="1319" s="97" customFormat="1" x14ac:dyDescent="0.25"/>
    <row r="1320" s="97" customFormat="1" x14ac:dyDescent="0.25"/>
    <row r="1321" s="97" customFormat="1" x14ac:dyDescent="0.25"/>
    <row r="1322" s="97" customFormat="1" x14ac:dyDescent="0.25"/>
    <row r="1323" s="97" customFormat="1" x14ac:dyDescent="0.25"/>
    <row r="1324" s="97" customFormat="1" x14ac:dyDescent="0.25"/>
    <row r="1325" s="97" customFormat="1" x14ac:dyDescent="0.25"/>
    <row r="1326" s="97" customFormat="1" x14ac:dyDescent="0.25"/>
    <row r="1327" s="97" customFormat="1" x14ac:dyDescent="0.25"/>
    <row r="1328" s="97" customFormat="1" x14ac:dyDescent="0.25"/>
    <row r="1329" s="97" customFormat="1" x14ac:dyDescent="0.25"/>
    <row r="1330" s="97" customFormat="1" x14ac:dyDescent="0.25"/>
    <row r="1331" s="97" customFormat="1" x14ac:dyDescent="0.25"/>
    <row r="1332" s="97" customFormat="1" x14ac:dyDescent="0.25"/>
    <row r="1333" s="97" customFormat="1" x14ac:dyDescent="0.25"/>
    <row r="1334" s="97" customFormat="1" x14ac:dyDescent="0.25"/>
    <row r="1335" s="97" customFormat="1" x14ac:dyDescent="0.25"/>
    <row r="1336" s="97" customFormat="1" x14ac:dyDescent="0.25"/>
    <row r="1337" s="97" customFormat="1" x14ac:dyDescent="0.25"/>
    <row r="1338" s="97" customFormat="1" x14ac:dyDescent="0.25"/>
    <row r="1339" s="97" customFormat="1" x14ac:dyDescent="0.25"/>
    <row r="1340" s="97" customFormat="1" x14ac:dyDescent="0.25"/>
    <row r="1341" s="97" customFormat="1" x14ac:dyDescent="0.25"/>
    <row r="1342" s="97" customFormat="1" x14ac:dyDescent="0.25"/>
    <row r="1343" s="97" customFormat="1" x14ac:dyDescent="0.25"/>
    <row r="1344" s="97" customFormat="1" x14ac:dyDescent="0.25"/>
    <row r="1345" s="97" customFormat="1" x14ac:dyDescent="0.25"/>
    <row r="1346" s="97" customFormat="1" x14ac:dyDescent="0.25"/>
    <row r="1347" s="97" customFormat="1" x14ac:dyDescent="0.25"/>
    <row r="1348" s="97" customFormat="1" x14ac:dyDescent="0.25"/>
    <row r="1349" s="97" customFormat="1" x14ac:dyDescent="0.25"/>
    <row r="1350" s="97" customFormat="1" x14ac:dyDescent="0.25"/>
    <row r="1351" s="97" customFormat="1" x14ac:dyDescent="0.25"/>
    <row r="1352" s="97" customFormat="1" x14ac:dyDescent="0.25"/>
    <row r="1353" s="97" customFormat="1" x14ac:dyDescent="0.25"/>
    <row r="1354" s="97" customFormat="1" x14ac:dyDescent="0.25"/>
    <row r="1355" s="97" customFormat="1" x14ac:dyDescent="0.25"/>
    <row r="1356" s="97" customFormat="1" x14ac:dyDescent="0.25"/>
    <row r="1357" s="97" customFormat="1" x14ac:dyDescent="0.25"/>
    <row r="1358" s="97" customFormat="1" x14ac:dyDescent="0.25"/>
    <row r="1359" s="97" customFormat="1" x14ac:dyDescent="0.25"/>
    <row r="1360" s="97" customFormat="1" x14ac:dyDescent="0.25"/>
    <row r="1361" s="97" customFormat="1" x14ac:dyDescent="0.25"/>
    <row r="1362" s="97" customFormat="1" x14ac:dyDescent="0.25"/>
    <row r="1363" s="97" customFormat="1" x14ac:dyDescent="0.25"/>
    <row r="1364" s="97" customFormat="1" x14ac:dyDescent="0.25"/>
    <row r="1365" s="97" customFormat="1" x14ac:dyDescent="0.25"/>
    <row r="1366" s="97" customFormat="1" x14ac:dyDescent="0.25"/>
    <row r="1367" s="97" customFormat="1" x14ac:dyDescent="0.25"/>
    <row r="1368" s="97" customFormat="1" x14ac:dyDescent="0.25"/>
    <row r="1369" s="97" customFormat="1" x14ac:dyDescent="0.25"/>
    <row r="1370" s="97" customFormat="1" x14ac:dyDescent="0.25"/>
    <row r="1371" s="97" customFormat="1" x14ac:dyDescent="0.25"/>
    <row r="1372" s="97" customFormat="1" x14ac:dyDescent="0.25"/>
    <row r="1373" s="97" customFormat="1" x14ac:dyDescent="0.25"/>
    <row r="1374" s="97" customFormat="1" x14ac:dyDescent="0.25"/>
    <row r="1375" s="97" customFormat="1" x14ac:dyDescent="0.25"/>
    <row r="1376" s="97" customFormat="1" x14ac:dyDescent="0.25"/>
    <row r="1377" s="97" customFormat="1" x14ac:dyDescent="0.25"/>
    <row r="1378" s="97" customFormat="1" x14ac:dyDescent="0.25"/>
    <row r="1379" s="97" customFormat="1" x14ac:dyDescent="0.25"/>
    <row r="1380" s="97" customFormat="1" x14ac:dyDescent="0.25"/>
    <row r="1381" s="97" customFormat="1" x14ac:dyDescent="0.25"/>
    <row r="1382" s="97" customFormat="1" x14ac:dyDescent="0.25"/>
    <row r="1383" s="97" customFormat="1" x14ac:dyDescent="0.25"/>
    <row r="1384" s="97" customFormat="1" x14ac:dyDescent="0.25"/>
    <row r="1385" s="97" customFormat="1" x14ac:dyDescent="0.25"/>
    <row r="1386" s="97" customFormat="1" x14ac:dyDescent="0.25"/>
    <row r="1387" s="97" customFormat="1" x14ac:dyDescent="0.25"/>
    <row r="1388" s="97" customFormat="1" x14ac:dyDescent="0.25"/>
    <row r="1389" s="97" customFormat="1" x14ac:dyDescent="0.25"/>
    <row r="1390" s="97" customFormat="1" x14ac:dyDescent="0.25"/>
    <row r="1391" s="97" customFormat="1" x14ac:dyDescent="0.25"/>
    <row r="1392" s="97" customFormat="1" x14ac:dyDescent="0.25"/>
    <row r="1393" s="97" customFormat="1" x14ac:dyDescent="0.25"/>
    <row r="1394" s="97" customFormat="1" x14ac:dyDescent="0.25"/>
    <row r="1395" s="97" customFormat="1" x14ac:dyDescent="0.25"/>
    <row r="1396" s="97" customFormat="1" x14ac:dyDescent="0.25"/>
    <row r="1397" s="97" customFormat="1" x14ac:dyDescent="0.25"/>
    <row r="1398" s="97" customFormat="1" x14ac:dyDescent="0.25"/>
    <row r="1399" s="97" customFormat="1" x14ac:dyDescent="0.25"/>
    <row r="1400" s="97" customFormat="1" x14ac:dyDescent="0.25"/>
    <row r="1401" s="97" customFormat="1" x14ac:dyDescent="0.25"/>
    <row r="1402" s="97" customFormat="1" x14ac:dyDescent="0.25"/>
    <row r="1403" s="97" customFormat="1" x14ac:dyDescent="0.25"/>
    <row r="1404" s="97" customFormat="1" x14ac:dyDescent="0.25"/>
    <row r="1405" s="97" customFormat="1" x14ac:dyDescent="0.25"/>
    <row r="1406" s="97" customFormat="1" x14ac:dyDescent="0.25"/>
    <row r="1407" s="97" customFormat="1" x14ac:dyDescent="0.25"/>
    <row r="1408" s="97" customFormat="1" x14ac:dyDescent="0.25"/>
    <row r="1409" s="97" customFormat="1" x14ac:dyDescent="0.25"/>
    <row r="1410" s="97" customFormat="1" x14ac:dyDescent="0.25"/>
    <row r="1411" s="97" customFormat="1" x14ac:dyDescent="0.25"/>
    <row r="1412" s="97" customFormat="1" x14ac:dyDescent="0.25"/>
    <row r="1413" s="97" customFormat="1" x14ac:dyDescent="0.25"/>
    <row r="1414" s="97" customFormat="1" x14ac:dyDescent="0.25"/>
    <row r="1415" s="97" customFormat="1" x14ac:dyDescent="0.25"/>
    <row r="1416" s="97" customFormat="1" x14ac:dyDescent="0.25"/>
    <row r="1417" s="97" customFormat="1" x14ac:dyDescent="0.25"/>
    <row r="1418" s="97" customFormat="1" x14ac:dyDescent="0.25"/>
    <row r="1419" s="97" customFormat="1" x14ac:dyDescent="0.25"/>
    <row r="1420" s="97" customFormat="1" x14ac:dyDescent="0.25"/>
    <row r="1421" s="97" customFormat="1" x14ac:dyDescent="0.25"/>
    <row r="1422" s="97" customFormat="1" x14ac:dyDescent="0.25"/>
    <row r="1423" s="97" customFormat="1" x14ac:dyDescent="0.25"/>
    <row r="1424" s="97" customFormat="1" x14ac:dyDescent="0.25"/>
    <row r="1425" s="97" customFormat="1" x14ac:dyDescent="0.25"/>
    <row r="1426" s="97" customFormat="1" x14ac:dyDescent="0.25"/>
    <row r="1427" s="97" customFormat="1" x14ac:dyDescent="0.25"/>
    <row r="1428" s="97" customFormat="1" x14ac:dyDescent="0.25"/>
    <row r="1429" s="97" customFormat="1" x14ac:dyDescent="0.25"/>
    <row r="1430" s="97" customFormat="1" x14ac:dyDescent="0.25"/>
    <row r="1431" s="97" customFormat="1" x14ac:dyDescent="0.25"/>
    <row r="1432" s="97" customFormat="1" x14ac:dyDescent="0.25"/>
    <row r="1433" s="97" customFormat="1" x14ac:dyDescent="0.25"/>
    <row r="1434" s="97" customFormat="1" x14ac:dyDescent="0.25"/>
    <row r="1435" s="97" customFormat="1" x14ac:dyDescent="0.25"/>
    <row r="1436" s="97" customFormat="1" x14ac:dyDescent="0.25"/>
    <row r="1437" s="97" customFormat="1" x14ac:dyDescent="0.25"/>
    <row r="1438" s="97" customFormat="1" x14ac:dyDescent="0.25"/>
    <row r="1439" s="97" customFormat="1" x14ac:dyDescent="0.25"/>
    <row r="1440" s="97" customFormat="1" x14ac:dyDescent="0.25"/>
    <row r="1441" s="97" customFormat="1" x14ac:dyDescent="0.25"/>
    <row r="1442" s="97" customFormat="1" x14ac:dyDescent="0.25"/>
    <row r="1443" s="97" customFormat="1" x14ac:dyDescent="0.25"/>
    <row r="1444" s="97" customFormat="1" x14ac:dyDescent="0.25"/>
    <row r="1445" s="97" customFormat="1" x14ac:dyDescent="0.25"/>
    <row r="1446" s="97" customFormat="1" x14ac:dyDescent="0.25"/>
    <row r="1447" s="97" customFormat="1" x14ac:dyDescent="0.25"/>
    <row r="1448" s="97" customFormat="1" x14ac:dyDescent="0.25"/>
    <row r="1449" s="97" customFormat="1" x14ac:dyDescent="0.25"/>
    <row r="1450" s="97" customFormat="1" x14ac:dyDescent="0.25"/>
    <row r="1451" s="97" customFormat="1" x14ac:dyDescent="0.25"/>
    <row r="1452" s="97" customFormat="1" x14ac:dyDescent="0.25"/>
    <row r="1453" s="97" customFormat="1" x14ac:dyDescent="0.25"/>
    <row r="1454" s="97" customFormat="1" x14ac:dyDescent="0.25"/>
    <row r="1455" s="97" customFormat="1" x14ac:dyDescent="0.25"/>
    <row r="1456" s="97" customFormat="1" x14ac:dyDescent="0.25"/>
    <row r="1457" s="97" customFormat="1" x14ac:dyDescent="0.25"/>
    <row r="1458" s="97" customFormat="1" x14ac:dyDescent="0.25"/>
    <row r="1459" s="97" customFormat="1" x14ac:dyDescent="0.25"/>
    <row r="1460" s="97" customFormat="1" x14ac:dyDescent="0.25"/>
    <row r="1461" s="97" customFormat="1" x14ac:dyDescent="0.25"/>
    <row r="1462" s="97" customFormat="1" x14ac:dyDescent="0.25"/>
    <row r="1463" s="97" customFormat="1" x14ac:dyDescent="0.25"/>
    <row r="1464" s="97" customFormat="1" x14ac:dyDescent="0.25"/>
  </sheetData>
  <sheetProtection algorithmName="SHA-512" hashValue="OghZgl8wfKa8ngSDEwd9HD6fe1dti7YLn1TBAX1u5q2/hXD5XKs4OB1GpvCqCXbOPOTUqZx3YrdOdoByv7b+GA==" saltValue="YhnlDyoaXjtI6dXu3KfVSw==" spinCount="100000" sheet="1" formatCells="0" formatColumns="0" formatRows="0" insertColumns="0" insertRows="0" insertHyperlinks="0" deleteColumns="0" deleteRows="0" sort="0" autoFilter="0" pivotTables="0"/>
  <mergeCells count="45">
    <mergeCell ref="L2:L4"/>
    <mergeCell ref="B5:L5"/>
    <mergeCell ref="B23:L23"/>
    <mergeCell ref="B24:B31"/>
    <mergeCell ref="B32:B35"/>
    <mergeCell ref="E2:K2"/>
    <mergeCell ref="D2:D4"/>
    <mergeCell ref="C2:C4"/>
    <mergeCell ref="E3:F3"/>
    <mergeCell ref="G3:I3"/>
    <mergeCell ref="B2:B4"/>
    <mergeCell ref="B6:B18"/>
    <mergeCell ref="B19:B22"/>
    <mergeCell ref="B123:C125"/>
    <mergeCell ref="B36:L36"/>
    <mergeCell ref="B37:B47"/>
    <mergeCell ref="B48:B51"/>
    <mergeCell ref="B54:B56"/>
    <mergeCell ref="C54:C56"/>
    <mergeCell ref="D54:D56"/>
    <mergeCell ref="E54:K54"/>
    <mergeCell ref="L54:L56"/>
    <mergeCell ref="E55:F55"/>
    <mergeCell ref="G55:I55"/>
    <mergeCell ref="B57:L57"/>
    <mergeCell ref="B113:E113"/>
    <mergeCell ref="B114:D114"/>
    <mergeCell ref="B92:L92"/>
    <mergeCell ref="B96:L96"/>
    <mergeCell ref="B100:L100"/>
    <mergeCell ref="B101:L101"/>
    <mergeCell ref="B103:L103"/>
    <mergeCell ref="B105:L105"/>
    <mergeCell ref="B58:L58"/>
    <mergeCell ref="B64:L64"/>
    <mergeCell ref="B70:L70"/>
    <mergeCell ref="B84:L84"/>
    <mergeCell ref="B91:L91"/>
    <mergeCell ref="B146:L147"/>
    <mergeCell ref="C128:E130"/>
    <mergeCell ref="C135:C138"/>
    <mergeCell ref="C132:C134"/>
    <mergeCell ref="B128:B130"/>
    <mergeCell ref="C139:C140"/>
    <mergeCell ref="C141:C143"/>
  </mergeCells>
  <pageMargins left="0.7" right="0.7" top="0.78740157499999996" bottom="0.78740157499999996" header="0.3" footer="0.3"/>
  <pageSetup paperSize="192" orientation="portrait"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2">
    <pageSetUpPr fitToPage="1"/>
  </sheetPr>
  <dimension ref="A1:AS55"/>
  <sheetViews>
    <sheetView defaultGridColor="0" colorId="23" zoomScale="80" zoomScaleNormal="80" workbookViewId="0"/>
  </sheetViews>
  <sheetFormatPr defaultColWidth="9.140625" defaultRowHeight="14.25" x14ac:dyDescent="0.3"/>
  <cols>
    <col min="1" max="1" width="2.7109375" style="964" customWidth="1"/>
    <col min="2" max="2" width="6.7109375" style="964" customWidth="1"/>
    <col min="3" max="3" width="53.7109375" style="964" customWidth="1"/>
    <col min="4" max="4" width="12.7109375" style="964" customWidth="1"/>
    <col min="5" max="5" width="5" style="964" customWidth="1"/>
    <col min="6" max="6" width="13.28515625" style="964" customWidth="1"/>
    <col min="7" max="12" width="10.7109375" style="964" customWidth="1"/>
    <col min="13" max="13" width="12.7109375" style="964" customWidth="1"/>
    <col min="14" max="19" width="10.7109375" style="964" customWidth="1"/>
    <col min="20" max="20" width="12.7109375" style="964" customWidth="1"/>
    <col min="21" max="27" width="10.7109375" style="964" customWidth="1"/>
    <col min="28" max="30" width="10.85546875" style="964" customWidth="1"/>
    <col min="31" max="34" width="9.140625" style="964"/>
    <col min="35" max="35" width="11.7109375" style="964" bestFit="1" customWidth="1"/>
    <col min="36" max="16384" width="9.140625" style="964"/>
  </cols>
  <sheetData>
    <row r="1" spans="1:35" ht="15" thickBot="1" x14ac:dyDescent="0.35"/>
    <row r="2" spans="1:35" x14ac:dyDescent="0.3">
      <c r="A2" s="1504"/>
      <c r="B2" s="1556" t="s">
        <v>210</v>
      </c>
      <c r="C2" s="1587" t="str">
        <f>IF('0 Úvod'!$M$10="English",Slovnik!$D$605,Slovnik!$C$605)</f>
        <v>Ekonomická analýza (CZK)</v>
      </c>
      <c r="D2" s="1558"/>
      <c r="E2" s="2649" t="str">
        <f>IF('0 Úvod'!$M$10="English",Slovnik!$D$607,Slovnik!$C$607)</f>
        <v>KF</v>
      </c>
      <c r="F2" s="2363">
        <f>'0 Úvod'!G18</f>
        <v>2021</v>
      </c>
      <c r="G2" s="2361">
        <f t="shared" ref="G2:T2" si="0">F2+1</f>
        <v>2022</v>
      </c>
      <c r="H2" s="2361">
        <f t="shared" si="0"/>
        <v>2023</v>
      </c>
      <c r="I2" s="2361">
        <f t="shared" si="0"/>
        <v>2024</v>
      </c>
      <c r="J2" s="2361">
        <f t="shared" si="0"/>
        <v>2025</v>
      </c>
      <c r="K2" s="2361">
        <f t="shared" si="0"/>
        <v>2026</v>
      </c>
      <c r="L2" s="2361">
        <f t="shared" si="0"/>
        <v>2027</v>
      </c>
      <c r="M2" s="2361">
        <f t="shared" si="0"/>
        <v>2028</v>
      </c>
      <c r="N2" s="2361">
        <f t="shared" si="0"/>
        <v>2029</v>
      </c>
      <c r="O2" s="2361">
        <f t="shared" si="0"/>
        <v>2030</v>
      </c>
      <c r="P2" s="2361">
        <f t="shared" si="0"/>
        <v>2031</v>
      </c>
      <c r="Q2" s="2361">
        <f t="shared" si="0"/>
        <v>2032</v>
      </c>
      <c r="R2" s="2361">
        <f t="shared" si="0"/>
        <v>2033</v>
      </c>
      <c r="S2" s="2361">
        <f t="shared" si="0"/>
        <v>2034</v>
      </c>
      <c r="T2" s="2365">
        <f t="shared" si="0"/>
        <v>2035</v>
      </c>
      <c r="U2" s="669"/>
      <c r="V2" s="669"/>
      <c r="W2" s="669"/>
      <c r="X2" s="669"/>
      <c r="Y2" s="669"/>
      <c r="Z2" s="669"/>
      <c r="AA2" s="669"/>
      <c r="AB2" s="669"/>
      <c r="AC2" s="669"/>
      <c r="AD2" s="669"/>
    </row>
    <row r="3" spans="1:35" ht="15" thickBot="1" x14ac:dyDescent="0.35">
      <c r="A3" s="1505"/>
      <c r="B3" s="1559" t="s">
        <v>23</v>
      </c>
      <c r="C3" s="1560"/>
      <c r="D3" s="1561" t="str">
        <f>IF('0 Úvod'!$M$10="English",Slovnik!$D$606,Slovnik!$C$606)</f>
        <v>Celkem</v>
      </c>
      <c r="E3" s="2650"/>
      <c r="F3" s="2651"/>
      <c r="G3" s="2648"/>
      <c r="H3" s="2648"/>
      <c r="I3" s="2648"/>
      <c r="J3" s="2648"/>
      <c r="K3" s="2648"/>
      <c r="L3" s="2648"/>
      <c r="M3" s="2648"/>
      <c r="N3" s="2648"/>
      <c r="O3" s="2648"/>
      <c r="P3" s="2648"/>
      <c r="Q3" s="2648"/>
      <c r="R3" s="2648"/>
      <c r="S3" s="2648"/>
      <c r="T3" s="2654"/>
      <c r="U3" s="669"/>
      <c r="V3" s="669"/>
      <c r="W3" s="669"/>
      <c r="X3" s="669"/>
      <c r="Y3" s="669"/>
      <c r="Z3" s="669"/>
      <c r="AA3" s="669"/>
      <c r="AB3" s="669"/>
      <c r="AC3" s="669"/>
      <c r="AD3" s="669"/>
      <c r="AE3" s="1506"/>
      <c r="AF3" s="1506"/>
      <c r="AG3" s="1506"/>
      <c r="AH3" s="1506"/>
      <c r="AI3" s="1506"/>
    </row>
    <row r="4" spans="1:35" x14ac:dyDescent="0.3">
      <c r="A4" s="1505"/>
      <c r="B4" s="1601"/>
      <c r="C4" s="1602" t="str">
        <f>IF('0 Úvod'!$M$10="English",Slovnik!D588,Slovnik!C588)</f>
        <v>Celkem PN infrastruktury železnice - úspora</v>
      </c>
      <c r="D4" s="1425">
        <f>SUM(F4:T4,F26:T26)</f>
        <v>126632599.66014141</v>
      </c>
      <c r="E4" s="1580" t="s">
        <v>267</v>
      </c>
      <c r="F4" s="1548">
        <f>IF(F2&lt;='0 Úvod'!$G$18+'0 Úvod'!$J$18-1,-'3 PN infrastruktury'!E58*'11 KF'!$E$135-'3 PN infrastruktury'!E59*'11 KF'!$E$136-'3 PN infrastruktury'!E60*'11 KF'!$E$137,0)</f>
        <v>0</v>
      </c>
      <c r="G4" s="1540">
        <f>IF(G2&lt;='0 Úvod'!$G$18+'0 Úvod'!$J$18-1,-'3 PN infrastruktury'!F58*'11 KF'!$E$135-'3 PN infrastruktury'!F59*'11 KF'!$E$136-'3 PN infrastruktury'!F60*'11 KF'!$E$137,0)</f>
        <v>0</v>
      </c>
      <c r="H4" s="1540">
        <f>IF(H2&lt;='0 Úvod'!$G$18+'0 Úvod'!$J$18-1,-'3 PN infrastruktury'!G58*'11 KF'!$E$135-'3 PN infrastruktury'!G59*'11 KF'!$E$136-'3 PN infrastruktury'!G60*'11 KF'!$E$137,0)</f>
        <v>217077150.34948498</v>
      </c>
      <c r="I4" s="1540">
        <f>IF(I2&lt;='0 Úvod'!$G$18+'0 Úvod'!$J$18-1,-'3 PN infrastruktury'!H58*'11 KF'!$E$135-'3 PN infrastruktury'!H59*'11 KF'!$E$136-'3 PN infrastruktury'!H60*'11 KF'!$E$137,0)</f>
        <v>852759.0156524874</v>
      </c>
      <c r="J4" s="1540">
        <f>IF(J2&lt;='0 Úvod'!$G$18+'0 Úvod'!$J$18-1,-'3 PN infrastruktury'!I58*'11 KF'!$E$135-'3 PN infrastruktury'!I59*'11 KF'!$E$136-'3 PN infrastruktury'!I60*'11 KF'!$E$137,0)</f>
        <v>853973.7251508435</v>
      </c>
      <c r="K4" s="1540">
        <f>IF(K2&lt;='0 Úvod'!$G$18+'0 Úvod'!$J$18-1,-'3 PN infrastruktury'!J58*'11 KF'!$E$135-'3 PN infrastruktury'!J59*'11 KF'!$E$136-'3 PN infrastruktury'!J60*'11 KF'!$E$137,0)</f>
        <v>855194.50819669047</v>
      </c>
      <c r="L4" s="1540">
        <f>IF(L2&lt;='0 Úvod'!$G$18+'0 Úvod'!$J$18-1,-'3 PN infrastruktury'!K58*'11 KF'!$E$135-'3 PN infrastruktury'!K59*'11 KF'!$E$136-'3 PN infrastruktury'!K60*'11 KF'!$E$137,0)</f>
        <v>856421.39515776711</v>
      </c>
      <c r="M4" s="1540">
        <f>IF(M2&lt;='0 Úvod'!$G$18+'0 Úvod'!$J$18-1,-'3 PN infrastruktury'!L58*'11 KF'!$E$135-'3 PN infrastruktury'!L59*'11 KF'!$E$136-'3 PN infrastruktury'!L60*'11 KF'!$E$137,0)</f>
        <v>857654.41655364831</v>
      </c>
      <c r="N4" s="1540">
        <f>IF(N2&lt;='0 Úvod'!$G$18+'0 Úvod'!$J$18-1,-'3 PN infrastruktury'!M58*'11 KF'!$E$135-'3 PN infrastruktury'!M59*'11 KF'!$E$136-'3 PN infrastruktury'!M60*'11 KF'!$E$137,0)</f>
        <v>111967693.60305651</v>
      </c>
      <c r="O4" s="1540">
        <f>IF(O2&lt;='0 Úvod'!$G$18+'0 Úvod'!$J$18-1,-'3 PN infrastruktury'!N58*'11 KF'!$E$135-'3 PN infrastruktury'!N59*'11 KF'!$E$136-'3 PN infrastruktury'!N60*'11 KF'!$E$137,0)</f>
        <v>860138.98549188592</v>
      </c>
      <c r="P4" s="1540">
        <f>IF(P2&lt;='0 Úvod'!$G$18+'0 Úvod'!$J$18-1,-'3 PN infrastruktury'!O58*'11 KF'!$E$135-'3 PN infrastruktury'!O59*'11 KF'!$E$136-'3 PN infrastruktury'!O60*'11 KF'!$E$137,0)</f>
        <v>861390.59483943821</v>
      </c>
      <c r="Q4" s="1540">
        <f>IF(Q2&lt;='0 Úvod'!$G$18+'0 Úvod'!$J$18-1,-'3 PN infrastruktury'!P58*'11 KF'!$E$135-'3 PN infrastruktury'!P59*'11 KF'!$E$136-'3 PN infrastruktury'!P60*'11 KF'!$E$137,0)</f>
        <v>862648.46223372908</v>
      </c>
      <c r="R4" s="1540">
        <f>IF(R2&lt;='0 Úvod'!$G$18+'0 Úvod'!$J$18-1,-'3 PN infrastruktury'!Q58*'11 KF'!$E$135-'3 PN infrastruktury'!Q59*'11 KF'!$E$136-'3 PN infrastruktury'!Q60*'11 KF'!$E$137,0)</f>
        <v>863912.6189649899</v>
      </c>
      <c r="S4" s="1540">
        <f>IF(S2&lt;='0 Úvod'!$G$18+'0 Úvod'!$J$18-1,-'3 PN infrastruktury'!R58*'11 KF'!$E$135-'3 PN infrastruktury'!R59*'11 KF'!$E$136-'3 PN infrastruktury'!R60*'11 KF'!$E$137,0)</f>
        <v>865183.09647990775</v>
      </c>
      <c r="T4" s="1541">
        <f>IF(T2&lt;='0 Úvod'!$G$18+'0 Úvod'!$J$18-1,-'3 PN infrastruktury'!S58*'11 KF'!$E$135-'3 PN infrastruktury'!S59*'11 KF'!$E$136-'3 PN infrastruktury'!S60*'11 KF'!$E$137,0)</f>
        <v>866459.92638240079</v>
      </c>
      <c r="U4" s="1507"/>
      <c r="V4" s="1507"/>
      <c r="W4" s="1507"/>
      <c r="X4" s="1507"/>
      <c r="Y4" s="1507"/>
      <c r="Z4" s="1507"/>
      <c r="AA4" s="1507"/>
      <c r="AB4" s="1507"/>
      <c r="AC4" s="1507"/>
      <c r="AD4" s="1507"/>
    </row>
    <row r="5" spans="1:35" x14ac:dyDescent="0.3">
      <c r="A5" s="1505"/>
      <c r="B5" s="1601"/>
      <c r="C5" s="1602" t="str">
        <f>IF('0 Úvod'!$M$10="English",Slovnik!D589,Slovnik!C589)</f>
        <v>Celkem PN infrastruktura silnice - úspora</v>
      </c>
      <c r="D5" s="1426">
        <f>SUM(F5:T5,F27:T27)</f>
        <v>227113.2539328296</v>
      </c>
      <c r="E5" s="1581" t="s">
        <v>267</v>
      </c>
      <c r="F5" s="1619">
        <f>IF(F2&lt;='0 Úvod'!$G$18+'0 Úvod'!$J$18-1,IF($T$47="SILNIČNÍ",-('3 PN infrastruktury'!E61-('3 PN infrastruktury'!E7-'3 PN infrastruktury'!E34))*'11 KF'!$E$139,-'3 PN infrastruktury'!E61*'11 KF'!$E$139-'3 PN infrastruktury'!E62*'11 KF'!$E$140),0)</f>
        <v>0</v>
      </c>
      <c r="G5" s="1542">
        <f>IF(G2&lt;='0 Úvod'!$G$18+'0 Úvod'!$J$18-1,IF($T$47="SILNIČNÍ",-('3 PN infrastruktury'!F61-('3 PN infrastruktury'!F7-'3 PN infrastruktury'!F34))*'11 KF'!$E$139,-'3 PN infrastruktury'!F61*'11 KF'!$E$139-'3 PN infrastruktury'!F62*'11 KF'!$E$140),0)</f>
        <v>0</v>
      </c>
      <c r="H5" s="1542">
        <f>IF(H2&lt;='0 Úvod'!$G$18+'0 Úvod'!$J$18-1,IF($T$47="SILNIČNÍ",-('3 PN infrastruktury'!G61-('3 PN infrastruktury'!G7-'3 PN infrastruktury'!G34))*'11 KF'!$E$139,-'3 PN infrastruktury'!G61*'11 KF'!$E$139-'3 PN infrastruktury'!G62*'11 KF'!$E$140),0)</f>
        <v>451.94460836899356</v>
      </c>
      <c r="I5" s="1542">
        <f>IF(I2&lt;='0 Úvod'!$G$18+'0 Úvod'!$J$18-1,IF($T$47="SILNIČNÍ",-('3 PN infrastruktury'!H61-('3 PN infrastruktury'!H7-'3 PN infrastruktury'!H34))*'11 KF'!$E$139,-'3 PN infrastruktury'!H61*'11 KF'!$E$139-'3 PN infrastruktury'!H62*'11 KF'!$E$140),0)</f>
        <v>0</v>
      </c>
      <c r="J5" s="1542">
        <f>IF(J2&lt;='0 Úvod'!$G$18+'0 Úvod'!$J$18-1,IF($T$47="SILNIČNÍ",-('3 PN infrastruktury'!I61-('3 PN infrastruktury'!I7-'3 PN infrastruktury'!I34))*'11 KF'!$E$139,-'3 PN infrastruktury'!I61*'11 KF'!$E$139-'3 PN infrastruktury'!I62*'11 KF'!$E$140),0)</f>
        <v>0</v>
      </c>
      <c r="K5" s="1542">
        <f>IF(K2&lt;='0 Úvod'!$G$18+'0 Úvod'!$J$18-1,IF($T$47="SILNIČNÍ",-('3 PN infrastruktury'!J61-('3 PN infrastruktury'!J7-'3 PN infrastruktury'!J34))*'11 KF'!$E$139,-'3 PN infrastruktury'!J61*'11 KF'!$E$139-'3 PN infrastruktury'!J62*'11 KF'!$E$140),0)</f>
        <v>9048.3745886436609</v>
      </c>
      <c r="L5" s="1542">
        <f>IF(L2&lt;='0 Úvod'!$G$18+'0 Úvod'!$J$18-1,IF($T$47="SILNIČNÍ",-('3 PN infrastruktury'!K61-('3 PN infrastruktury'!K7-'3 PN infrastruktury'!K34))*'11 KF'!$E$139,-'3 PN infrastruktury'!K61*'11 KF'!$E$139-'3 PN infrastruktury'!K62*'11 KF'!$E$140),0)</f>
        <v>9048.3745886436609</v>
      </c>
      <c r="M5" s="1542">
        <f>IF(M2&lt;='0 Úvod'!$G$18+'0 Úvod'!$J$18-1,IF($T$47="SILNIČNÍ",-('3 PN infrastruktury'!L61-('3 PN infrastruktury'!L7-'3 PN infrastruktury'!L34))*'11 KF'!$E$139,-'3 PN infrastruktury'!L61*'11 KF'!$E$139-'3 PN infrastruktury'!L62*'11 KF'!$E$140),0)</f>
        <v>9048.3745886436609</v>
      </c>
      <c r="N5" s="1542">
        <f>IF(N2&lt;='0 Úvod'!$G$18+'0 Úvod'!$J$18-1,IF($T$47="SILNIČNÍ",-('3 PN infrastruktury'!M61-('3 PN infrastruktury'!M7-'3 PN infrastruktury'!M34))*'11 KF'!$E$139,-'3 PN infrastruktury'!M61*'11 KF'!$E$139-'3 PN infrastruktury'!M62*'11 KF'!$E$140),0)</f>
        <v>9048.3745886436609</v>
      </c>
      <c r="O5" s="1542">
        <f>IF(O2&lt;='0 Úvod'!$G$18+'0 Úvod'!$J$18-1,IF($T$47="SILNIČNÍ",-('3 PN infrastruktury'!N61-('3 PN infrastruktury'!N7-'3 PN infrastruktury'!N34))*'11 KF'!$E$139,-'3 PN infrastruktury'!N61*'11 KF'!$E$139-'3 PN infrastruktury'!N62*'11 KF'!$E$140),0)</f>
        <v>9048.3745886436609</v>
      </c>
      <c r="P5" s="1542">
        <f>IF(P2&lt;='0 Úvod'!$G$18+'0 Úvod'!$J$18-1,IF($T$47="SILNIČNÍ",-('3 PN infrastruktury'!O61-('3 PN infrastruktury'!O7-'3 PN infrastruktury'!O34))*'11 KF'!$E$139,-'3 PN infrastruktury'!O61*'11 KF'!$E$139-'3 PN infrastruktury'!O62*'11 KF'!$E$140),0)</f>
        <v>9048.3745886436609</v>
      </c>
      <c r="Q5" s="1542">
        <f>IF(Q2&lt;='0 Úvod'!$G$18+'0 Úvod'!$J$18-1,IF($T$47="SILNIČNÍ",-('3 PN infrastruktury'!P61-('3 PN infrastruktury'!P7-'3 PN infrastruktury'!P34))*'11 KF'!$E$139,-'3 PN infrastruktury'!P61*'11 KF'!$E$139-'3 PN infrastruktury'!P62*'11 KF'!$E$140),0)</f>
        <v>9048.3745886436609</v>
      </c>
      <c r="R5" s="1542">
        <f>IF(R2&lt;='0 Úvod'!$G$18+'0 Úvod'!$J$18-1,IF($T$47="SILNIČNÍ",-('3 PN infrastruktury'!Q61-('3 PN infrastruktury'!Q7-'3 PN infrastruktury'!Q34))*'11 KF'!$E$139,-'3 PN infrastruktury'!Q61*'11 KF'!$E$139-'3 PN infrastruktury'!Q62*'11 KF'!$E$140),0)</f>
        <v>9048.3745886436609</v>
      </c>
      <c r="S5" s="1542">
        <f>IF(S2&lt;='0 Úvod'!$G$18+'0 Úvod'!$J$18-1,IF($T$47="SILNIČNÍ",-('3 PN infrastruktury'!R61-('3 PN infrastruktury'!R7-'3 PN infrastruktury'!R34))*'11 KF'!$E$139,-'3 PN infrastruktury'!R61*'11 KF'!$E$139-'3 PN infrastruktury'!R62*'11 KF'!$E$140),0)</f>
        <v>9048.3745886436609</v>
      </c>
      <c r="T5" s="1543">
        <f>IF(T2&lt;='0 Úvod'!$G$18+'0 Úvod'!$J$18-1,IF($T$47="SILNIČNÍ",-('3 PN infrastruktury'!S61-('3 PN infrastruktury'!S7-'3 PN infrastruktury'!S34))*'11 KF'!$E$139,-'3 PN infrastruktury'!S61*'11 KF'!$E$139-'3 PN infrastruktury'!S62*'11 KF'!$E$140),0)</f>
        <v>9048.3745886436609</v>
      </c>
      <c r="U5" s="1507"/>
      <c r="V5" s="1507"/>
      <c r="W5" s="1507"/>
      <c r="X5" s="1507"/>
      <c r="Y5" s="1507"/>
      <c r="Z5" s="1507"/>
      <c r="AA5" s="1507"/>
      <c r="AB5" s="1507"/>
      <c r="AC5" s="1507"/>
      <c r="AD5" s="1507"/>
    </row>
    <row r="6" spans="1:35" x14ac:dyDescent="0.3">
      <c r="A6" s="1505"/>
      <c r="B6" s="1601"/>
      <c r="C6" s="1602" t="str">
        <f>IF('0 Úvod'!$M$10="English",Slovnik!D590,Slovnik!C590)</f>
        <v>Celkem PN infrastruktura voda - úspora</v>
      </c>
      <c r="D6" s="1426">
        <f>SUM(F6:T6,F28:T28)</f>
        <v>0</v>
      </c>
      <c r="E6" s="1581" t="s">
        <v>267</v>
      </c>
      <c r="F6" s="1619">
        <f>IF(F2&lt;='0 Úvod'!$G$18+'0 Úvod'!$J$18-1,-'3 PN infrastruktury'!E63*'11 KF'!$E$141-'3 PN infrastruktury'!E64*'11 KF'!$E$142,0)</f>
        <v>0</v>
      </c>
      <c r="G6" s="1542">
        <f>IF(G2&lt;='0 Úvod'!$G$18+'0 Úvod'!$J$18-1,-'3 PN infrastruktury'!F63*'11 KF'!$E$141-'3 PN infrastruktury'!F64*'11 KF'!$E$142,0)</f>
        <v>0</v>
      </c>
      <c r="H6" s="1542">
        <f>IF(H2&lt;='0 Úvod'!$G$18+'0 Úvod'!$J$18-1,-'3 PN infrastruktury'!G63*'11 KF'!$E$141-'3 PN infrastruktury'!G64*'11 KF'!$E$142,0)</f>
        <v>0</v>
      </c>
      <c r="I6" s="1542">
        <f>IF(I2&lt;='0 Úvod'!$G$18+'0 Úvod'!$J$18-1,-'3 PN infrastruktury'!H63*'11 KF'!$E$141-'3 PN infrastruktury'!H64*'11 KF'!$E$142,0)</f>
        <v>0</v>
      </c>
      <c r="J6" s="1542">
        <f>IF(J2&lt;='0 Úvod'!$G$18+'0 Úvod'!$J$18-1,-'3 PN infrastruktury'!I63*'11 KF'!$E$141-'3 PN infrastruktury'!I64*'11 KF'!$E$142,0)</f>
        <v>0</v>
      </c>
      <c r="K6" s="1542">
        <f>IF(K2&lt;='0 Úvod'!$G$18+'0 Úvod'!$J$18-1,-'3 PN infrastruktury'!J63*'11 KF'!$E$141-'3 PN infrastruktury'!J64*'11 KF'!$E$142,0)</f>
        <v>0</v>
      </c>
      <c r="L6" s="1542">
        <f>IF(L2&lt;='0 Úvod'!$G$18+'0 Úvod'!$J$18-1,-'3 PN infrastruktury'!K63*'11 KF'!$E$141-'3 PN infrastruktury'!K64*'11 KF'!$E$142,0)</f>
        <v>0</v>
      </c>
      <c r="M6" s="1542">
        <f>IF(M2&lt;='0 Úvod'!$G$18+'0 Úvod'!$J$18-1,-'3 PN infrastruktury'!L63*'11 KF'!$E$141-'3 PN infrastruktury'!L64*'11 KF'!$E$142,0)</f>
        <v>0</v>
      </c>
      <c r="N6" s="1542">
        <f>IF(N2&lt;='0 Úvod'!$G$18+'0 Úvod'!$J$18-1,-'3 PN infrastruktury'!M63*'11 KF'!$E$141-'3 PN infrastruktury'!M64*'11 KF'!$E$142,0)</f>
        <v>0</v>
      </c>
      <c r="O6" s="1542">
        <f>IF(O2&lt;='0 Úvod'!$G$18+'0 Úvod'!$J$18-1,-'3 PN infrastruktury'!N63*'11 KF'!$E$141-'3 PN infrastruktury'!N64*'11 KF'!$E$142,0)</f>
        <v>0</v>
      </c>
      <c r="P6" s="1542">
        <f>IF(P2&lt;='0 Úvod'!$G$18+'0 Úvod'!$J$18-1,-'3 PN infrastruktury'!O63*'11 KF'!$E$141-'3 PN infrastruktury'!O64*'11 KF'!$E$142,0)</f>
        <v>0</v>
      </c>
      <c r="Q6" s="1542">
        <f>IF(Q2&lt;='0 Úvod'!$G$18+'0 Úvod'!$J$18-1,-'3 PN infrastruktury'!P63*'11 KF'!$E$141-'3 PN infrastruktury'!P64*'11 KF'!$E$142,0)</f>
        <v>0</v>
      </c>
      <c r="R6" s="1542">
        <f>IF(R2&lt;='0 Úvod'!$G$18+'0 Úvod'!$J$18-1,-'3 PN infrastruktury'!Q63*'11 KF'!$E$141-'3 PN infrastruktury'!Q64*'11 KF'!$E$142,0)</f>
        <v>0</v>
      </c>
      <c r="S6" s="1542">
        <f>IF(S2&lt;='0 Úvod'!$G$18+'0 Úvod'!$J$18-1,-'3 PN infrastruktury'!R63*'11 KF'!$E$141-'3 PN infrastruktury'!R64*'11 KF'!$E$142,0)</f>
        <v>0</v>
      </c>
      <c r="T6" s="1543">
        <f>IF(T2&lt;='0 Úvod'!$G$18+'0 Úvod'!$J$18-1,-'3 PN infrastruktury'!S63*'11 KF'!$E$141-'3 PN infrastruktury'!S64*'11 KF'!$E$142,0)</f>
        <v>0</v>
      </c>
      <c r="U6" s="1507"/>
      <c r="V6" s="1507"/>
      <c r="W6" s="1507"/>
      <c r="X6" s="1507"/>
      <c r="Y6" s="1507"/>
      <c r="Z6" s="1507"/>
      <c r="AA6" s="1507"/>
      <c r="AB6" s="1507"/>
      <c r="AC6" s="1507"/>
      <c r="AD6" s="1507"/>
    </row>
    <row r="7" spans="1:35" x14ac:dyDescent="0.3">
      <c r="A7" s="1505"/>
      <c r="B7" s="1601"/>
      <c r="C7" s="1602" t="str">
        <f>IF('0 Úvod'!$M$10="English",Slovnik!D735,Slovnik!C735)</f>
        <v>Celkem PN infrastruktura ostatní - úspora</v>
      </c>
      <c r="D7" s="1426">
        <f t="shared" ref="D7:D11" si="1">SUM(F7:T7,F29:T29)</f>
        <v>0</v>
      </c>
      <c r="E7" s="1581" t="s">
        <v>267</v>
      </c>
      <c r="F7" s="1619">
        <f>IF(F2&lt;='0 Úvod'!$G$18+'0 Úvod'!$J$18-1,-'3 PN infrastruktury'!E65*AVERAGE('11 KF'!$E$135,'11 KF'!$E$139)-'3 PN infrastruktury'!E66*AVERAGE('11 KF'!$E$136,'11 KF'!$E$140),0)</f>
        <v>0</v>
      </c>
      <c r="G7" s="1542">
        <f>IF(G2&lt;='0 Úvod'!$G$18+'0 Úvod'!$J$18-1,-'3 PN infrastruktury'!F65*AVERAGE('11 KF'!$E$135,'11 KF'!$E$139)-'3 PN infrastruktury'!F66*AVERAGE('11 KF'!$E$136,'11 KF'!$E$140),0)</f>
        <v>0</v>
      </c>
      <c r="H7" s="1542">
        <f>IF(H2&lt;='0 Úvod'!$G$18+'0 Úvod'!$J$18-1,-'3 PN infrastruktury'!G65*AVERAGE('11 KF'!$E$135,'11 KF'!$E$139)-'3 PN infrastruktury'!G66*AVERAGE('11 KF'!$E$136,'11 KF'!$E$140),0)</f>
        <v>0</v>
      </c>
      <c r="I7" s="1542">
        <f>IF(I2&lt;='0 Úvod'!$G$18+'0 Úvod'!$J$18-1,-'3 PN infrastruktury'!H65*AVERAGE('11 KF'!$E$135,'11 KF'!$E$139)-'3 PN infrastruktury'!H66*AVERAGE('11 KF'!$E$136,'11 KF'!$E$140),0)</f>
        <v>0</v>
      </c>
      <c r="J7" s="1542">
        <f>IF(J2&lt;='0 Úvod'!$G$18+'0 Úvod'!$J$18-1,-'3 PN infrastruktury'!I65*AVERAGE('11 KF'!$E$135,'11 KF'!$E$139)-'3 PN infrastruktury'!I66*AVERAGE('11 KF'!$E$136,'11 KF'!$E$140),0)</f>
        <v>0</v>
      </c>
      <c r="K7" s="1542">
        <f>IF(K2&lt;='0 Úvod'!$G$18+'0 Úvod'!$J$18-1,-'3 PN infrastruktury'!J65*AVERAGE('11 KF'!$E$135,'11 KF'!$E$139)-'3 PN infrastruktury'!J66*AVERAGE('11 KF'!$E$136,'11 KF'!$E$140),0)</f>
        <v>0</v>
      </c>
      <c r="L7" s="1542">
        <f>IF(L2&lt;='0 Úvod'!$G$18+'0 Úvod'!$J$18-1,-'3 PN infrastruktury'!K65*AVERAGE('11 KF'!$E$135,'11 KF'!$E$139)-'3 PN infrastruktury'!K66*AVERAGE('11 KF'!$E$136,'11 KF'!$E$140),0)</f>
        <v>0</v>
      </c>
      <c r="M7" s="1542">
        <f>IF(M2&lt;='0 Úvod'!$G$18+'0 Úvod'!$J$18-1,-'3 PN infrastruktury'!L65*AVERAGE('11 KF'!$E$135,'11 KF'!$E$139)-'3 PN infrastruktury'!L66*AVERAGE('11 KF'!$E$136,'11 KF'!$E$140),0)</f>
        <v>0</v>
      </c>
      <c r="N7" s="1542">
        <f>IF(N2&lt;='0 Úvod'!$G$18+'0 Úvod'!$J$18-1,-'3 PN infrastruktury'!M65*AVERAGE('11 KF'!$E$135,'11 KF'!$E$139)-'3 PN infrastruktury'!M66*AVERAGE('11 KF'!$E$136,'11 KF'!$E$140),0)</f>
        <v>0</v>
      </c>
      <c r="O7" s="1542">
        <f>IF(O2&lt;='0 Úvod'!$G$18+'0 Úvod'!$J$18-1,-'3 PN infrastruktury'!N65*AVERAGE('11 KF'!$E$135,'11 KF'!$E$139)-'3 PN infrastruktury'!N66*AVERAGE('11 KF'!$E$136,'11 KF'!$E$140),0)</f>
        <v>0</v>
      </c>
      <c r="P7" s="1542">
        <f>IF(P2&lt;='0 Úvod'!$G$18+'0 Úvod'!$J$18-1,-'3 PN infrastruktury'!O65*AVERAGE('11 KF'!$E$135,'11 KF'!$E$139)-'3 PN infrastruktury'!O66*AVERAGE('11 KF'!$E$136,'11 KF'!$E$140),0)</f>
        <v>0</v>
      </c>
      <c r="Q7" s="1542">
        <f>IF(Q2&lt;='0 Úvod'!$G$18+'0 Úvod'!$J$18-1,-'3 PN infrastruktury'!P65*AVERAGE('11 KF'!$E$135,'11 KF'!$E$139)-'3 PN infrastruktury'!P66*AVERAGE('11 KF'!$E$136,'11 KF'!$E$140),0)</f>
        <v>0</v>
      </c>
      <c r="R7" s="1542">
        <f>IF(R2&lt;='0 Úvod'!$G$18+'0 Úvod'!$J$18-1,-'3 PN infrastruktury'!Q65*AVERAGE('11 KF'!$E$135,'11 KF'!$E$139)-'3 PN infrastruktury'!Q66*AVERAGE('11 KF'!$E$136,'11 KF'!$E$140),0)</f>
        <v>0</v>
      </c>
      <c r="S7" s="1542">
        <f>IF(S2&lt;='0 Úvod'!$G$18+'0 Úvod'!$J$18-1,-'3 PN infrastruktury'!R65*AVERAGE('11 KF'!$E$135,'11 KF'!$E$139)-'3 PN infrastruktury'!R66*AVERAGE('11 KF'!$E$136,'11 KF'!$E$140),0)</f>
        <v>0</v>
      </c>
      <c r="T7" s="1543">
        <f>IF(T2&lt;='0 Úvod'!$G$18+'0 Úvod'!$J$18-1,-'3 PN infrastruktury'!S65*AVERAGE('11 KF'!$E$135,'11 KF'!$E$139)-'3 PN infrastruktury'!S66*AVERAGE('11 KF'!$E$136,'11 KF'!$E$140),0)</f>
        <v>0</v>
      </c>
      <c r="U7" s="1507"/>
      <c r="V7" s="1507"/>
      <c r="W7" s="1507"/>
      <c r="X7" s="1507"/>
      <c r="Y7" s="1507"/>
      <c r="Z7" s="1507"/>
      <c r="AA7" s="1507"/>
      <c r="AB7" s="1507"/>
      <c r="AC7" s="1507"/>
      <c r="AD7" s="1507"/>
    </row>
    <row r="8" spans="1:35" x14ac:dyDescent="0.3">
      <c r="A8" s="1505"/>
      <c r="B8" s="1601"/>
      <c r="C8" s="1602" t="str">
        <f>IF('0 Úvod'!$M$10="English",Slovnik!D591,Slovnik!C591)</f>
        <v>Celkem PN vozidel železnice - úspora</v>
      </c>
      <c r="D8" s="1426">
        <f t="shared" si="1"/>
        <v>-131652618.71413542</v>
      </c>
      <c r="E8" s="1581">
        <f>'11 KF'!E138</f>
        <v>0.81200000000000006</v>
      </c>
      <c r="F8" s="1619">
        <f>IF(F2&lt;='0 Úvod'!$G$18+'0 Úvod'!$J$18-1,-('4 PN vozidel'!E54+'4 PN vozidel'!E55)*'11 KF'!$E$138,0)</f>
        <v>0</v>
      </c>
      <c r="G8" s="1542">
        <f>IF(G2&lt;='0 Úvod'!$G$18+'0 Úvod'!$J$18-1,-('4 PN vozidel'!F54+'4 PN vozidel'!F55)*'11 KF'!$E$138,0)</f>
        <v>0</v>
      </c>
      <c r="H8" s="1542">
        <f>IF(H2&lt;='0 Úvod'!$G$18+'0 Úvod'!$J$18-1,-('4 PN vozidel'!G54+'4 PN vozidel'!G55)*'11 KF'!$E$138,0)</f>
        <v>1727161.0513781402</v>
      </c>
      <c r="I8" s="1542">
        <f>IF(I2&lt;='0 Úvod'!$G$18+'0 Úvod'!$J$18-1,-('4 PN vozidel'!H54+'4 PN vozidel'!H55)*'11 KF'!$E$138,0)</f>
        <v>0</v>
      </c>
      <c r="J8" s="1542">
        <f>IF(J2&lt;='0 Úvod'!$G$18+'0 Úvod'!$J$18-1,-('4 PN vozidel'!I54+'4 PN vozidel'!I55)*'11 KF'!$E$138,0)</f>
        <v>0</v>
      </c>
      <c r="K8" s="1542">
        <f>IF(K2&lt;='0 Úvod'!$G$18+'0 Úvod'!$J$18-1,-('4 PN vozidel'!J54+'4 PN vozidel'!J55)*'11 KF'!$E$138,0)</f>
        <v>-5335191.1906205453</v>
      </c>
      <c r="L8" s="1542">
        <f>IF(L2&lt;='0 Úvod'!$G$18+'0 Úvod'!$J$18-1,-('4 PN vozidel'!K54+'4 PN vozidel'!K55)*'11 KF'!$E$138,0)</f>
        <v>-5335191.1906205453</v>
      </c>
      <c r="M8" s="1542">
        <f>IF(M2&lt;='0 Úvod'!$G$18+'0 Úvod'!$J$18-1,-('4 PN vozidel'!L54+'4 PN vozidel'!L55)*'11 KF'!$E$138,0)</f>
        <v>-5335191.1906205453</v>
      </c>
      <c r="N8" s="1542">
        <f>IF(N2&lt;='0 Úvod'!$G$18+'0 Úvod'!$J$18-1,-('4 PN vozidel'!M54+'4 PN vozidel'!M55)*'11 KF'!$E$138,0)</f>
        <v>-5335191.1906205453</v>
      </c>
      <c r="O8" s="1542">
        <f>IF(O2&lt;='0 Úvod'!$G$18+'0 Úvod'!$J$18-1,-('4 PN vozidel'!N54+'4 PN vozidel'!N55)*'11 KF'!$E$138,0)</f>
        <v>-5335191.1906205453</v>
      </c>
      <c r="P8" s="1542">
        <f>IF(P2&lt;='0 Úvod'!$G$18+'0 Úvod'!$J$18-1,-('4 PN vozidel'!O54+'4 PN vozidel'!O55)*'11 KF'!$E$138,0)</f>
        <v>-5335191.1906205453</v>
      </c>
      <c r="Q8" s="1542">
        <f>IF(Q2&lt;='0 Úvod'!$G$18+'0 Úvod'!$J$18-1,-('4 PN vozidel'!P54+'4 PN vozidel'!P55)*'11 KF'!$E$138,0)</f>
        <v>-5335191.1906205453</v>
      </c>
      <c r="R8" s="1542">
        <f>IF(R2&lt;='0 Úvod'!$G$18+'0 Úvod'!$J$18-1,-('4 PN vozidel'!Q54+'4 PN vozidel'!Q55)*'11 KF'!$E$138,0)</f>
        <v>-5335191.1906205453</v>
      </c>
      <c r="S8" s="1542">
        <f>IF(S2&lt;='0 Úvod'!$G$18+'0 Úvod'!$J$18-1,-('4 PN vozidel'!R54+'4 PN vozidel'!R55)*'11 KF'!$E$138,0)</f>
        <v>-5335191.1906205453</v>
      </c>
      <c r="T8" s="1543">
        <f>IF(T2&lt;='0 Úvod'!$G$18+'0 Úvod'!$J$18-1,-('4 PN vozidel'!S54+'4 PN vozidel'!S55)*'11 KF'!$E$138,0)</f>
        <v>-5335191.1906205453</v>
      </c>
      <c r="U8" s="1507"/>
      <c r="V8" s="1507"/>
      <c r="W8" s="1507"/>
      <c r="X8" s="1507"/>
      <c r="Y8" s="1507"/>
      <c r="Z8" s="1507"/>
      <c r="AA8" s="1507"/>
      <c r="AB8" s="1507"/>
      <c r="AC8" s="1507"/>
      <c r="AD8" s="1507"/>
    </row>
    <row r="9" spans="1:35" x14ac:dyDescent="0.3">
      <c r="A9" s="1505"/>
      <c r="B9" s="1601"/>
      <c r="C9" s="1602" t="str">
        <f>IF('0 Úvod'!$M$10="English",Slovnik!D592,Slovnik!C592)</f>
        <v>Celkem PN vozidel silnice - úspora</v>
      </c>
      <c r="D9" s="1426">
        <f t="shared" si="1"/>
        <v>317494075.02108729</v>
      </c>
      <c r="E9" s="1581">
        <v>1</v>
      </c>
      <c r="F9" s="1619">
        <f>IF(F2&lt;='0 Úvod'!$G$18+'0 Úvod'!$J$18-1,-('4 PN vozidel'!E56+'4 PN vozidel'!E57),0)</f>
        <v>0</v>
      </c>
      <c r="G9" s="1542">
        <f>IF(G2&lt;='0 Úvod'!$G$18+'0 Úvod'!$J$18-1,-('4 PN vozidel'!F56+'4 PN vozidel'!F57),0)</f>
        <v>0</v>
      </c>
      <c r="H9" s="1542">
        <f>IF(H2&lt;='0 Úvod'!$G$18+'0 Úvod'!$J$18-1,-('4 PN vozidel'!G56+'4 PN vozidel'!G57),0)</f>
        <v>58926.199458212322</v>
      </c>
      <c r="I9" s="1542">
        <f>IF(I2&lt;='0 Úvod'!$G$18+'0 Úvod'!$J$18-1,-('4 PN vozidel'!H56+'4 PN vozidel'!H57),0)</f>
        <v>0</v>
      </c>
      <c r="J9" s="1542">
        <f>IF(J2&lt;='0 Úvod'!$G$18+'0 Úvod'!$J$18-1,-('4 PN vozidel'!I56+'4 PN vozidel'!I57),0)</f>
        <v>0</v>
      </c>
      <c r="K9" s="1542">
        <f>IF(K2&lt;='0 Úvod'!$G$18+'0 Úvod'!$J$18-1,-('4 PN vozidel'!J56+'4 PN vozidel'!J57),0)</f>
        <v>12697405.952865165</v>
      </c>
      <c r="L9" s="1542">
        <f>IF(L2&lt;='0 Úvod'!$G$18+'0 Úvod'!$J$18-1,-('4 PN vozidel'!K56+'4 PN vozidel'!K57),0)</f>
        <v>12697405.952865165</v>
      </c>
      <c r="M9" s="1542">
        <f>IF(M2&lt;='0 Úvod'!$G$18+'0 Úvod'!$J$18-1,-('4 PN vozidel'!L56+'4 PN vozidel'!L57),0)</f>
        <v>12697405.952865165</v>
      </c>
      <c r="N9" s="1542">
        <f>IF(N2&lt;='0 Úvod'!$G$18+'0 Úvod'!$J$18-1,-('4 PN vozidel'!M56+'4 PN vozidel'!M57),0)</f>
        <v>12697405.952865165</v>
      </c>
      <c r="O9" s="1542">
        <f>IF(O2&lt;='0 Úvod'!$G$18+'0 Úvod'!$J$18-1,-('4 PN vozidel'!N56+'4 PN vozidel'!N57),0)</f>
        <v>12697405.952865165</v>
      </c>
      <c r="P9" s="1542">
        <f>IF(P2&lt;='0 Úvod'!$G$18+'0 Úvod'!$J$18-1,-('4 PN vozidel'!O56+'4 PN vozidel'!O57),0)</f>
        <v>12697405.952865165</v>
      </c>
      <c r="Q9" s="1542">
        <f>IF(Q2&lt;='0 Úvod'!$G$18+'0 Úvod'!$J$18-1,-('4 PN vozidel'!P56+'4 PN vozidel'!P57),0)</f>
        <v>12697405.952865165</v>
      </c>
      <c r="R9" s="1542">
        <f>IF(R2&lt;='0 Úvod'!$G$18+'0 Úvod'!$J$18-1,-('4 PN vozidel'!Q56+'4 PN vozidel'!Q57),0)</f>
        <v>12697405.952865165</v>
      </c>
      <c r="S9" s="1542">
        <f>IF(S2&lt;='0 Úvod'!$G$18+'0 Úvod'!$J$18-1,-('4 PN vozidel'!R56+'4 PN vozidel'!R57),0)</f>
        <v>12697405.952865165</v>
      </c>
      <c r="T9" s="1543">
        <f>IF(T2&lt;='0 Úvod'!$G$18+'0 Úvod'!$J$18-1,-('4 PN vozidel'!S56+'4 PN vozidel'!S57),0)</f>
        <v>12697405.952865165</v>
      </c>
      <c r="U9" s="1507"/>
      <c r="V9" s="1507"/>
      <c r="W9" s="1507"/>
      <c r="X9" s="1507"/>
      <c r="Y9" s="1507"/>
      <c r="Z9" s="1507"/>
      <c r="AA9" s="1507"/>
      <c r="AB9" s="1507"/>
      <c r="AC9" s="1507"/>
      <c r="AD9" s="1507"/>
    </row>
    <row r="10" spans="1:35" x14ac:dyDescent="0.3">
      <c r="A10" s="1505"/>
      <c r="B10" s="1601"/>
      <c r="C10" s="1602" t="str">
        <f>IF('0 Úvod'!$M$10="English",Slovnik!D593,Slovnik!C593)</f>
        <v>Celkem PN plavidel - úspora</v>
      </c>
      <c r="D10" s="1426">
        <f t="shared" si="1"/>
        <v>0</v>
      </c>
      <c r="E10" s="1581">
        <f>'11 KF'!E143</f>
        <v>0.76400000000000001</v>
      </c>
      <c r="F10" s="1619">
        <f>IF(F2&lt;='0 Úvod'!$G$18+'0 Úvod'!$J$18-1,-('4 PN vozidel'!E58+'4 PN vozidel'!E59)*'11 KF'!$E$143,0)</f>
        <v>0</v>
      </c>
      <c r="G10" s="1542">
        <f>IF(G2&lt;='0 Úvod'!$G$18+'0 Úvod'!$J$18-1,-('4 PN vozidel'!F58+'4 PN vozidel'!F59)*'11 KF'!$E$143,0)</f>
        <v>0</v>
      </c>
      <c r="H10" s="1542">
        <f>IF(H2&lt;='0 Úvod'!$G$18+'0 Úvod'!$J$18-1,-('4 PN vozidel'!G58+'4 PN vozidel'!G59)*'11 KF'!$E$143,0)</f>
        <v>0</v>
      </c>
      <c r="I10" s="1542">
        <f>IF(I2&lt;='0 Úvod'!$G$18+'0 Úvod'!$J$18-1,-('4 PN vozidel'!H58+'4 PN vozidel'!H59)*'11 KF'!$E$143,0)</f>
        <v>0</v>
      </c>
      <c r="J10" s="1542">
        <f>IF(J2&lt;='0 Úvod'!$G$18+'0 Úvod'!$J$18-1,-('4 PN vozidel'!I58+'4 PN vozidel'!I59)*'11 KF'!$E$143,0)</f>
        <v>0</v>
      </c>
      <c r="K10" s="1542">
        <f>IF(K2&lt;='0 Úvod'!$G$18+'0 Úvod'!$J$18-1,-('4 PN vozidel'!J58+'4 PN vozidel'!J59)*'11 KF'!$E$143,0)</f>
        <v>0</v>
      </c>
      <c r="L10" s="1542">
        <f>IF(L2&lt;='0 Úvod'!$G$18+'0 Úvod'!$J$18-1,-('4 PN vozidel'!K58+'4 PN vozidel'!K59)*'11 KF'!$E$143,0)</f>
        <v>0</v>
      </c>
      <c r="M10" s="1542">
        <f>IF(M2&lt;='0 Úvod'!$G$18+'0 Úvod'!$J$18-1,-('4 PN vozidel'!L58+'4 PN vozidel'!L59)*'11 KF'!$E$143,0)</f>
        <v>0</v>
      </c>
      <c r="N10" s="1542">
        <f>IF(N2&lt;='0 Úvod'!$G$18+'0 Úvod'!$J$18-1,-('4 PN vozidel'!M58+'4 PN vozidel'!M59)*'11 KF'!$E$143,0)</f>
        <v>0</v>
      </c>
      <c r="O10" s="1542">
        <f>IF(O2&lt;='0 Úvod'!$G$18+'0 Úvod'!$J$18-1,-('4 PN vozidel'!N58+'4 PN vozidel'!N59)*'11 KF'!$E$143,0)</f>
        <v>0</v>
      </c>
      <c r="P10" s="1542">
        <f>IF(P2&lt;='0 Úvod'!$G$18+'0 Úvod'!$J$18-1,-('4 PN vozidel'!O58+'4 PN vozidel'!O59)*'11 KF'!$E$143,0)</f>
        <v>0</v>
      </c>
      <c r="Q10" s="1542">
        <f>IF(Q2&lt;='0 Úvod'!$G$18+'0 Úvod'!$J$18-1,-('4 PN vozidel'!P58+'4 PN vozidel'!P59)*'11 KF'!$E$143,0)</f>
        <v>0</v>
      </c>
      <c r="R10" s="1542">
        <f>IF(R2&lt;='0 Úvod'!$G$18+'0 Úvod'!$J$18-1,-('4 PN vozidel'!Q58+'4 PN vozidel'!Q59)*'11 KF'!$E$143,0)</f>
        <v>0</v>
      </c>
      <c r="S10" s="1542">
        <f>IF(S2&lt;='0 Úvod'!$G$18+'0 Úvod'!$J$18-1,-('4 PN vozidel'!R58+'4 PN vozidel'!R59)*'11 KF'!$E$143,0)</f>
        <v>0</v>
      </c>
      <c r="T10" s="1543">
        <f>IF(T2&lt;='0 Úvod'!$G$18+'0 Úvod'!$J$18-1,-('4 PN vozidel'!S58+'4 PN vozidel'!S59)*'11 KF'!$E$143,0)</f>
        <v>0</v>
      </c>
      <c r="U10" s="1507"/>
      <c r="V10" s="1507"/>
      <c r="W10" s="1507"/>
      <c r="X10" s="1507"/>
      <c r="Y10" s="1507"/>
      <c r="Z10" s="1507"/>
      <c r="AA10" s="1507"/>
      <c r="AB10" s="1507"/>
      <c r="AC10" s="1507"/>
      <c r="AD10" s="1507"/>
    </row>
    <row r="11" spans="1:35" x14ac:dyDescent="0.3">
      <c r="A11" s="1505"/>
      <c r="B11" s="1601"/>
      <c r="C11" s="1602" t="str">
        <f>IF('0 Úvod'!$M$10="English",Slovnik!D736,Slovnik!C736)</f>
        <v>Celkem PN vozidel MHD (vč. městský BUS) - úspora</v>
      </c>
      <c r="D11" s="1426">
        <f t="shared" si="1"/>
        <v>0</v>
      </c>
      <c r="E11" s="1581">
        <f>'11 KF'!E138</f>
        <v>0.81200000000000006</v>
      </c>
      <c r="F11" s="1619">
        <f>IF(F2&lt;='0 Úvod'!$G$18+'0 Úvod'!$J$18-1,-('4 PN vozidel'!E60+'4 PN vozidel'!E61)*'11 KF'!$E$138,0)</f>
        <v>0</v>
      </c>
      <c r="G11" s="1542">
        <f>IF(G2&lt;='0 Úvod'!$G$18+'0 Úvod'!$J$18-1,-('4 PN vozidel'!F60+'4 PN vozidel'!F61)*'11 KF'!$E$138,0)</f>
        <v>0</v>
      </c>
      <c r="H11" s="1542">
        <f>IF(H2&lt;='0 Úvod'!$G$18+'0 Úvod'!$J$18-1,-('4 PN vozidel'!G60+'4 PN vozidel'!G61)*'11 KF'!$E$138,0)</f>
        <v>0</v>
      </c>
      <c r="I11" s="1542">
        <f>IF(I2&lt;='0 Úvod'!$G$18+'0 Úvod'!$J$18-1,-('4 PN vozidel'!H60+'4 PN vozidel'!H61)*'11 KF'!$E$138,0)</f>
        <v>0</v>
      </c>
      <c r="J11" s="1542">
        <f>IF(J2&lt;='0 Úvod'!$G$18+'0 Úvod'!$J$18-1,-('4 PN vozidel'!I60+'4 PN vozidel'!I61)*'11 KF'!$E$138,0)</f>
        <v>0</v>
      </c>
      <c r="K11" s="1542">
        <f>IF(K2&lt;='0 Úvod'!$G$18+'0 Úvod'!$J$18-1,-('4 PN vozidel'!J60+'4 PN vozidel'!J61)*'11 KF'!$E$138,0)</f>
        <v>0</v>
      </c>
      <c r="L11" s="1542">
        <f>IF(L2&lt;='0 Úvod'!$G$18+'0 Úvod'!$J$18-1,-('4 PN vozidel'!K60+'4 PN vozidel'!K61)*'11 KF'!$E$138,0)</f>
        <v>0</v>
      </c>
      <c r="M11" s="1542">
        <f>IF(M2&lt;='0 Úvod'!$G$18+'0 Úvod'!$J$18-1,-('4 PN vozidel'!L60+'4 PN vozidel'!L61)*'11 KF'!$E$138,0)</f>
        <v>0</v>
      </c>
      <c r="N11" s="1542">
        <f>IF(N2&lt;='0 Úvod'!$G$18+'0 Úvod'!$J$18-1,-('4 PN vozidel'!M60+'4 PN vozidel'!M61)*'11 KF'!$E$138,0)</f>
        <v>0</v>
      </c>
      <c r="O11" s="1542">
        <f>IF(O2&lt;='0 Úvod'!$G$18+'0 Úvod'!$J$18-1,-('4 PN vozidel'!N60+'4 PN vozidel'!N61)*'11 KF'!$E$138,0)</f>
        <v>0</v>
      </c>
      <c r="P11" s="1542">
        <f>IF(P2&lt;='0 Úvod'!$G$18+'0 Úvod'!$J$18-1,-('4 PN vozidel'!O60+'4 PN vozidel'!O61)*'11 KF'!$E$138,0)</f>
        <v>0</v>
      </c>
      <c r="Q11" s="1542">
        <f>IF(Q2&lt;='0 Úvod'!$G$18+'0 Úvod'!$J$18-1,-('4 PN vozidel'!P60+'4 PN vozidel'!P61)*'11 KF'!$E$138,0)</f>
        <v>0</v>
      </c>
      <c r="R11" s="1542">
        <f>IF(R2&lt;='0 Úvod'!$G$18+'0 Úvod'!$J$18-1,-('4 PN vozidel'!Q60+'4 PN vozidel'!Q61)*'11 KF'!$E$138,0)</f>
        <v>0</v>
      </c>
      <c r="S11" s="1542">
        <f>IF(S2&lt;='0 Úvod'!$G$18+'0 Úvod'!$J$18-1,-('4 PN vozidel'!R60+'4 PN vozidel'!R61)*'11 KF'!$E$138,0)</f>
        <v>0</v>
      </c>
      <c r="T11" s="1543">
        <f>IF(T2&lt;='0 Úvod'!$G$18+'0 Úvod'!$J$18-1,-('4 PN vozidel'!S60+'4 PN vozidel'!S61)*'11 KF'!$E$138,0)</f>
        <v>0</v>
      </c>
      <c r="U11" s="1507"/>
      <c r="V11" s="1507"/>
      <c r="W11" s="1507"/>
      <c r="X11" s="1507"/>
      <c r="Y11" s="1507"/>
      <c r="Z11" s="1507"/>
      <c r="AA11" s="1507"/>
      <c r="AB11" s="1507"/>
      <c r="AC11" s="1507"/>
      <c r="AD11" s="1507"/>
    </row>
    <row r="12" spans="1:35" x14ac:dyDescent="0.3">
      <c r="A12" s="1505"/>
      <c r="B12" s="1601"/>
      <c r="C12" s="1602" t="str">
        <f>IF('0 Úvod'!$M$10="English",Slovnik!D594,Slovnik!C594)</f>
        <v>Celkem úspory z cestovních dob</v>
      </c>
      <c r="D12" s="1426">
        <f>SUM(F12:T12,F34:T34)</f>
        <v>573070040.45748162</v>
      </c>
      <c r="E12" s="1618"/>
      <c r="F12" s="1619">
        <f>IF(F2&lt;='0 Úvod'!$G$18+'0 Úvod'!$J$18-1,'5 Úspory času'!E61,0)</f>
        <v>0</v>
      </c>
      <c r="G12" s="1542">
        <f>IF(G2&lt;='0 Úvod'!$G$18+'0 Úvod'!$J$18-1,'5 Úspory času'!F61,0)</f>
        <v>0</v>
      </c>
      <c r="H12" s="1542">
        <f>IF(H2&lt;='0 Úvod'!$G$18+'0 Úvod'!$J$18-1,'5 Úspory času'!G61,0)</f>
        <v>85734934.739377975</v>
      </c>
      <c r="I12" s="1542">
        <f>IF(I2&lt;='0 Úvod'!$G$18+'0 Úvod'!$J$18-1,'5 Úspory času'!H61,0)</f>
        <v>14291934.32337833</v>
      </c>
      <c r="J12" s="1542">
        <f>IF(J2&lt;='0 Úvod'!$G$18+'0 Úvod'!$J$18-1,'5 Úspory času'!I61,0)</f>
        <v>14596982.312402941</v>
      </c>
      <c r="K12" s="1542">
        <f>IF(K2&lt;='0 Úvod'!$G$18+'0 Úvod'!$J$18-1,'5 Úspory času'!J61,0)</f>
        <v>14881169.303363405</v>
      </c>
      <c r="L12" s="1542">
        <f>IF(L2&lt;='0 Úvod'!$G$18+'0 Úvod'!$J$18-1,'5 Úspory času'!K61,0)</f>
        <v>15170902.904284779</v>
      </c>
      <c r="M12" s="1542">
        <f>IF(M2&lt;='0 Úvod'!$G$18+'0 Úvod'!$J$18-1,'5 Úspory času'!L61,0)</f>
        <v>15466291.658039954</v>
      </c>
      <c r="N12" s="1542">
        <f>IF(N2&lt;='0 Úvod'!$G$18+'0 Úvod'!$J$18-1,'5 Úspory času'!M61,0)</f>
        <v>15767446.237557653</v>
      </c>
      <c r="O12" s="1542">
        <f>IF(O2&lt;='0 Úvod'!$G$18+'0 Úvod'!$J$18-1,'5 Úspory času'!N61,0)</f>
        <v>16074479.487746056</v>
      </c>
      <c r="P12" s="1542">
        <f>IF(P2&lt;='0 Úvod'!$G$18+'0 Úvod'!$J$18-1,'5 Úspory času'!O61,0)</f>
        <v>16338560.563195394</v>
      </c>
      <c r="Q12" s="1542">
        <f>IF(Q2&lt;='0 Úvod'!$G$18+'0 Úvod'!$J$18-1,'5 Úspory času'!P61,0)</f>
        <v>16606995.333369821</v>
      </c>
      <c r="R12" s="1542">
        <f>IF(R2&lt;='0 Úvod'!$G$18+'0 Úvod'!$J$18-1,'5 Úspory času'!Q61,0)</f>
        <v>16879855.843969829</v>
      </c>
      <c r="S12" s="1542">
        <f>IF(S2&lt;='0 Úvod'!$G$18+'0 Úvod'!$J$18-1,'5 Úspory času'!R61,0)</f>
        <v>17157215.337688379</v>
      </c>
      <c r="T12" s="1543">
        <f>IF(T2&lt;='0 Úvod'!$G$18+'0 Úvod'!$J$18-1,'5 Úspory času'!S61,0)</f>
        <v>17439148.274182074</v>
      </c>
      <c r="U12" s="1507"/>
      <c r="V12" s="1507"/>
      <c r="W12" s="1507"/>
      <c r="X12" s="1507"/>
      <c r="Y12" s="1507"/>
      <c r="Z12" s="1507"/>
      <c r="AA12" s="1507"/>
      <c r="AB12" s="1507"/>
      <c r="AC12" s="1507"/>
      <c r="AD12" s="1507"/>
    </row>
    <row r="13" spans="1:35" x14ac:dyDescent="0.3">
      <c r="A13" s="1505"/>
      <c r="B13" s="1601"/>
      <c r="C13" s="1602" t="str">
        <f>IF('0 Úvod'!$M$10="English",Slovnik!D595,Slovnik!C595)</f>
        <v>Celkem externality</v>
      </c>
      <c r="D13" s="1426">
        <f>SUM(F13:T13,F35:T35)</f>
        <v>137450748.0161761</v>
      </c>
      <c r="E13" s="1618"/>
      <c r="F13" s="1619">
        <f>IF(F2&lt;='0 Úvod'!$G$18+'0 Úvod'!$J$18-1,'6 Externality'!E150,0)</f>
        <v>0</v>
      </c>
      <c r="G13" s="1542">
        <f>IF(G2&lt;='0 Úvod'!$G$18+'0 Úvod'!$J$18-1,'6 Externality'!F150,0)</f>
        <v>0</v>
      </c>
      <c r="H13" s="1542">
        <f>IF(H2&lt;='0 Úvod'!$G$18+'0 Úvod'!$J$18-1,'6 Externality'!G150,0)</f>
        <v>1860641.2873165603</v>
      </c>
      <c r="I13" s="1542">
        <f>IF(I2&lt;='0 Úvod'!$G$18+'0 Úvod'!$J$18-1,'6 Externality'!H150,0)</f>
        <v>0</v>
      </c>
      <c r="J13" s="1542">
        <f>IF(J2&lt;='0 Úvod'!$G$18+'0 Úvod'!$J$18-1,'6 Externality'!I150,0)</f>
        <v>0</v>
      </c>
      <c r="K13" s="1542">
        <f>IF(K2&lt;='0 Úvod'!$G$18+'0 Úvod'!$J$18-1,'6 Externality'!J150,0)</f>
        <v>4424555.3560357532</v>
      </c>
      <c r="L13" s="1542">
        <f>IF(L2&lt;='0 Úvod'!$G$18+'0 Úvod'!$J$18-1,'6 Externality'!K150,0)</f>
        <v>4497649.010517464</v>
      </c>
      <c r="M13" s="1542">
        <f>IF(M2&lt;='0 Úvod'!$G$18+'0 Úvod'!$J$18-1,'6 Externality'!L150,0)</f>
        <v>4571950.1721712127</v>
      </c>
      <c r="N13" s="1542">
        <f>IF(N2&lt;='0 Úvod'!$G$18+'0 Úvod'!$J$18-1,'6 Externality'!M150,0)</f>
        <v>4647478.7890154812</v>
      </c>
      <c r="O13" s="1542">
        <f>IF(O2&lt;='0 Úvod'!$G$18+'0 Úvod'!$J$18-1,'6 Externality'!N150,0)</f>
        <v>4724255.1386100184</v>
      </c>
      <c r="P13" s="1542">
        <f>IF(P2&lt;='0 Úvod'!$G$18+'0 Úvod'!$J$18-1,'6 Externality'!O150,0)</f>
        <v>4802299.8334998563</v>
      </c>
      <c r="Q13" s="1542">
        <f>IF(Q2&lt;='0 Úvod'!$G$18+'0 Úvod'!$J$18-1,'6 Externality'!P150,0)</f>
        <v>4881633.8267492745</v>
      </c>
      <c r="R13" s="1542">
        <f>IF(R2&lt;='0 Úvod'!$G$18+'0 Úvod'!$J$18-1,'6 Externality'!Q150,0)</f>
        <v>4962278.4175671712</v>
      </c>
      <c r="S13" s="1542">
        <f>IF(S2&lt;='0 Úvod'!$G$18+'0 Úvod'!$J$18-1,'6 Externality'!R150,0)</f>
        <v>5044255.2570253825</v>
      </c>
      <c r="T13" s="1543">
        <f>IF(T2&lt;='0 Úvod'!$G$18+'0 Úvod'!$J$18-1,'6 Externality'!S150,0)</f>
        <v>5127586.3538714424</v>
      </c>
      <c r="U13" s="1507"/>
      <c r="V13" s="1507"/>
      <c r="W13" s="1507"/>
      <c r="X13" s="1507"/>
      <c r="Y13" s="1507"/>
      <c r="Z13" s="1507"/>
      <c r="AA13" s="1507"/>
      <c r="AB13" s="1507"/>
      <c r="AC13" s="1507"/>
      <c r="AD13" s="1507"/>
    </row>
    <row r="14" spans="1:35" x14ac:dyDescent="0.3">
      <c r="A14" s="1505"/>
      <c r="B14" s="1601"/>
      <c r="C14" s="1602" t="str">
        <f>IF('0 Úvod'!$M$10="English",Slovnik!D596,Slovnik!C596)</f>
        <v>Celkem přínosy osobní rekreační plavby</v>
      </c>
      <c r="D14" s="1426">
        <f>SUM(F14:T14,F36:T36)</f>
        <v>0</v>
      </c>
      <c r="E14" s="1618"/>
      <c r="F14" s="1619">
        <f>IF(F2&lt;='0 Úvod'!$G$18+'0 Úvod'!$J$18-1,'7 Osobní a rekreační plavba'!E48,0)</f>
        <v>0</v>
      </c>
      <c r="G14" s="1542">
        <f>IF(G2&lt;='0 Úvod'!$G$18+'0 Úvod'!$J$18-1,'7 Osobní a rekreační plavba'!F48,0)</f>
        <v>0</v>
      </c>
      <c r="H14" s="1542">
        <f>IF(H2&lt;='0 Úvod'!$G$18+'0 Úvod'!$J$18-1,'7 Osobní a rekreační plavba'!G48,0)</f>
        <v>0</v>
      </c>
      <c r="I14" s="1542">
        <f>IF(I2&lt;='0 Úvod'!$G$18+'0 Úvod'!$J$18-1,'7 Osobní a rekreační plavba'!H48,0)</f>
        <v>0</v>
      </c>
      <c r="J14" s="1542">
        <f>IF(J2&lt;='0 Úvod'!$G$18+'0 Úvod'!$J$18-1,'7 Osobní a rekreační plavba'!I48,0)</f>
        <v>0</v>
      </c>
      <c r="K14" s="1542">
        <f>IF(K2&lt;='0 Úvod'!$G$18+'0 Úvod'!$J$18-1,'7 Osobní a rekreační plavba'!J48,0)</f>
        <v>0</v>
      </c>
      <c r="L14" s="1542">
        <f>IF(L2&lt;='0 Úvod'!$G$18+'0 Úvod'!$J$18-1,'7 Osobní a rekreační plavba'!K48,0)</f>
        <v>0</v>
      </c>
      <c r="M14" s="1542">
        <f>IF(M2&lt;='0 Úvod'!$G$18+'0 Úvod'!$J$18-1,'7 Osobní a rekreační plavba'!L48,0)</f>
        <v>0</v>
      </c>
      <c r="N14" s="1542">
        <f>IF(N2&lt;='0 Úvod'!$G$18+'0 Úvod'!$J$18-1,'7 Osobní a rekreační plavba'!M48,0)</f>
        <v>0</v>
      </c>
      <c r="O14" s="1542">
        <f>IF(O2&lt;='0 Úvod'!$G$18+'0 Úvod'!$J$18-1,'7 Osobní a rekreační plavba'!N48,0)</f>
        <v>0</v>
      </c>
      <c r="P14" s="1542">
        <f>IF(P2&lt;='0 Úvod'!$G$18+'0 Úvod'!$J$18-1,'7 Osobní a rekreační plavba'!O48,0)</f>
        <v>0</v>
      </c>
      <c r="Q14" s="1542">
        <f>IF(Q2&lt;='0 Úvod'!$G$18+'0 Úvod'!$J$18-1,'7 Osobní a rekreační plavba'!P48,0)</f>
        <v>0</v>
      </c>
      <c r="R14" s="1542">
        <f>IF(R2&lt;='0 Úvod'!$G$18+'0 Úvod'!$J$18-1,'7 Osobní a rekreační plavba'!Q48,0)</f>
        <v>0</v>
      </c>
      <c r="S14" s="1542">
        <f>IF(S2&lt;='0 Úvod'!$G$18+'0 Úvod'!$J$18-1,'7 Osobní a rekreační plavba'!R48,0)</f>
        <v>0</v>
      </c>
      <c r="T14" s="1543">
        <f>IF(T2&lt;='0 Úvod'!$G$18+'0 Úvod'!$J$18-1,'7 Osobní a rekreační plavba'!S48,0)</f>
        <v>0</v>
      </c>
      <c r="U14" s="1507"/>
      <c r="V14" s="1507"/>
      <c r="W14" s="1507"/>
      <c r="X14" s="1507"/>
      <c r="Y14" s="1507"/>
      <c r="Z14" s="1507"/>
      <c r="AA14" s="1507"/>
      <c r="AB14" s="1507"/>
      <c r="AC14" s="1507"/>
      <c r="AD14" s="1507"/>
    </row>
    <row r="15" spans="1:35" x14ac:dyDescent="0.3">
      <c r="A15" s="1505"/>
      <c r="B15" s="1601"/>
      <c r="C15" s="1490" t="str">
        <f>IF('0 Úvod'!$M$10="English",Slovnik!D597,Slovnik!C597)</f>
        <v>Ostatní přínosy</v>
      </c>
      <c r="D15" s="1426">
        <f>SUM(F15:T15,F37:T37)</f>
        <v>5897330.46</v>
      </c>
      <c r="E15" s="2232">
        <f>'11 KF'!E132</f>
        <v>0.80100000000000005</v>
      </c>
      <c r="F15" s="1510"/>
      <c r="G15" s="1510"/>
      <c r="H15" s="1510">
        <f>'9 Ostatní přínosy EA'!G8</f>
        <v>5897330.46</v>
      </c>
      <c r="I15" s="1510"/>
      <c r="J15" s="1510"/>
      <c r="K15" s="1510"/>
      <c r="L15" s="1510"/>
      <c r="M15" s="1510"/>
      <c r="N15" s="1510"/>
      <c r="O15" s="1510"/>
      <c r="P15" s="1510"/>
      <c r="Q15" s="1510"/>
      <c r="R15" s="1510"/>
      <c r="S15" s="1510"/>
      <c r="T15" s="1510"/>
      <c r="U15" s="2144"/>
      <c r="V15" s="1507"/>
      <c r="W15" s="1507"/>
      <c r="X15" s="1507"/>
      <c r="Y15" s="1507"/>
      <c r="Z15" s="1507"/>
      <c r="AA15" s="1507"/>
      <c r="AB15" s="1507"/>
      <c r="AC15" s="1507"/>
      <c r="AD15" s="1507"/>
    </row>
    <row r="16" spans="1:35" x14ac:dyDescent="0.3">
      <c r="B16" s="1578"/>
      <c r="C16" s="1491" t="str">
        <f>IF('0 Úvod'!$M$10="English",Slovnik!D598,Slovnik!C598)</f>
        <v>Celkové příjmy</v>
      </c>
      <c r="D16" s="1492">
        <f>SUM(D4:D15)</f>
        <v>1029119288.1546839</v>
      </c>
      <c r="E16" s="1495"/>
      <c r="F16" s="1525">
        <f t="shared" ref="F16:T16" si="2">SUM(F4:F15)</f>
        <v>0</v>
      </c>
      <c r="G16" s="1499">
        <f t="shared" si="2"/>
        <v>0</v>
      </c>
      <c r="H16" s="1499">
        <f t="shared" si="2"/>
        <v>312356596.0316242</v>
      </c>
      <c r="I16" s="1499">
        <f t="shared" si="2"/>
        <v>15144693.339030817</v>
      </c>
      <c r="J16" s="1499">
        <f t="shared" si="2"/>
        <v>15450956.037553785</v>
      </c>
      <c r="K16" s="1499">
        <f t="shared" si="2"/>
        <v>27532182.304429114</v>
      </c>
      <c r="L16" s="1499">
        <f t="shared" si="2"/>
        <v>27896236.446793273</v>
      </c>
      <c r="M16" s="1499">
        <f t="shared" si="2"/>
        <v>28267159.383598078</v>
      </c>
      <c r="N16" s="1499">
        <f t="shared" si="2"/>
        <v>139753881.76646289</v>
      </c>
      <c r="O16" s="1499">
        <f t="shared" si="2"/>
        <v>29030136.748681225</v>
      </c>
      <c r="P16" s="1499">
        <f t="shared" si="2"/>
        <v>29373514.128367953</v>
      </c>
      <c r="Q16" s="1499">
        <f t="shared" si="2"/>
        <v>29722540.759186089</v>
      </c>
      <c r="R16" s="1499">
        <f t="shared" si="2"/>
        <v>30077310.017335255</v>
      </c>
      <c r="S16" s="1499">
        <f t="shared" si="2"/>
        <v>30437916.828026935</v>
      </c>
      <c r="T16" s="1526">
        <f t="shared" si="2"/>
        <v>30804457.691269182</v>
      </c>
      <c r="U16" s="958"/>
      <c r="V16" s="958"/>
      <c r="W16" s="958"/>
      <c r="X16" s="958"/>
      <c r="Y16" s="958"/>
      <c r="Z16" s="958"/>
      <c r="AA16" s="958"/>
      <c r="AB16" s="958"/>
      <c r="AC16" s="958"/>
      <c r="AD16" s="958"/>
    </row>
    <row r="17" spans="1:45" x14ac:dyDescent="0.3">
      <c r="A17" s="1505"/>
      <c r="B17" s="1601"/>
      <c r="C17" s="1602" t="str">
        <f>IF('0 Úvod'!$M$10="English",Slovnik!D599,Slovnik!C599)</f>
        <v>Celkem investiční náklady bez rezervy</v>
      </c>
      <c r="D17" s="1426">
        <f>SUM(F17:T17,F39:T39)</f>
        <v>596874927.77151871</v>
      </c>
      <c r="E17" s="1585" t="s">
        <v>267</v>
      </c>
      <c r="F17" s="1619">
        <f>'1 CIN'!G11*IF($T$47="ŽELEZNIČNÍ",'11 KF'!$E$132,IF($T$47="SILNIČNÍ",'11 KF'!$E$133,IF($T$47="VODNÍ",'11 KF'!$E$134,AVERAGE('11 KF'!$E$132,'11 KF'!$E$133))))</f>
        <v>69274368.738655925</v>
      </c>
      <c r="G17" s="1542">
        <f>'1 CIN'!H11*IF($T$47="ŽELEZNIČNÍ",'11 KF'!$E$132,IF($T$47="SILNIČNÍ",'11 KF'!$E$133,IF($T$47="VODNÍ",'11 KF'!$E$134,AVERAGE('11 KF'!$E$132,'11 KF'!$E$133))))</f>
        <v>516322648.84486288</v>
      </c>
      <c r="H17" s="1542">
        <f>'1 CIN'!I11*IF($T$47="ŽELEZNIČNÍ",'11 KF'!$E$132,IF($T$47="SILNIČNÍ",'11 KF'!$E$133,IF($T$47="VODNÍ",'11 KF'!$E$134,AVERAGE('11 KF'!$E$132,'11 KF'!$E$133))))</f>
        <v>11277910.188000001</v>
      </c>
      <c r="I17" s="1542">
        <f>'1 CIN'!J11*IF($T$47="ŽELEZNIČNÍ",'11 KF'!$E$132,IF($T$47="SILNIČNÍ",'11 KF'!$E$133,IF($T$47="VODNÍ",'11 KF'!$E$134,AVERAGE('11 KF'!$E$132,'11 KF'!$E$133))))</f>
        <v>0</v>
      </c>
      <c r="J17" s="1542">
        <f>'1 CIN'!K11*IF($T$47="ŽELEZNIČNÍ",'11 KF'!$E$132,IF($T$47="SILNIČNÍ",'11 KF'!$E$133,IF($T$47="VODNÍ",'11 KF'!$E$134,AVERAGE('11 KF'!$E$132,'11 KF'!$E$133))))</f>
        <v>0</v>
      </c>
      <c r="K17" s="1542">
        <f>'1 CIN'!L11*IF($T$47="ŽELEZNIČNÍ",'11 KF'!$E$132,IF($T$47="SILNIČNÍ",'11 KF'!$E$133,IF($T$47="VODNÍ",'11 KF'!$E$134,AVERAGE('11 KF'!$E$132,'11 KF'!$E$133))))</f>
        <v>0</v>
      </c>
      <c r="L17" s="1542">
        <f>'1 CIN'!M11*IF($T$47="ŽELEZNIČNÍ",'11 KF'!$E$132,IF($T$47="SILNIČNÍ",'11 KF'!$E$133,IF($T$47="VODNÍ",'11 KF'!$E$134,AVERAGE('11 KF'!$E$132,'11 KF'!$E$133))))</f>
        <v>0</v>
      </c>
      <c r="M17" s="1542">
        <f>'1 CIN'!N11*IF($T$47="ŽELEZNIČNÍ",'11 KF'!$E$132,IF($T$47="SILNIČNÍ",'11 KF'!$E$133,IF($T$47="VODNÍ",'11 KF'!$E$134,AVERAGE('11 KF'!$E$132,'11 KF'!$E$133))))</f>
        <v>0</v>
      </c>
      <c r="N17" s="1542">
        <f>'1 CIN'!O11*IF($T$47="ŽELEZNIČNÍ",'11 KF'!$E$132,IF($T$47="SILNIČNÍ",'11 KF'!$E$133,IF($T$47="VODNÍ",'11 KF'!$E$134,AVERAGE('11 KF'!$E$132,'11 KF'!$E$133))))</f>
        <v>0</v>
      </c>
      <c r="O17" s="1542">
        <f>'1 CIN'!P11*IF($T$47="ŽELEZNIČNÍ",'11 KF'!$E$132,IF($T$47="SILNIČNÍ",'11 KF'!$E$133,IF($T$47="VODNÍ",'11 KF'!$E$134,AVERAGE('11 KF'!$E$132,'11 KF'!$E$133))))</f>
        <v>0</v>
      </c>
      <c r="P17" s="1542">
        <f>'1 CIN'!Q11*IF($T$47="ŽELEZNIČNÍ",'11 KF'!$E$132,IF($T$47="SILNIČNÍ",'11 KF'!$E$133,IF($T$47="VODNÍ",'11 KF'!$E$134,AVERAGE('11 KF'!$E$132,'11 KF'!$E$133))))</f>
        <v>0</v>
      </c>
      <c r="Q17" s="1542">
        <f>'1 CIN'!R11*IF($T$47="ŽELEZNIČNÍ",'11 KF'!$E$132,IF($T$47="SILNIČNÍ",'11 KF'!$E$133,IF($T$47="VODNÍ",'11 KF'!$E$134,AVERAGE('11 KF'!$E$132,'11 KF'!$E$133))))</f>
        <v>0</v>
      </c>
      <c r="R17" s="1542">
        <f>'1 CIN'!S11*IF($T$47="ŽELEZNIČNÍ",'11 KF'!$E$132,IF($T$47="SILNIČNÍ",'11 KF'!$E$133,IF($T$47="VODNÍ",'11 KF'!$E$134,AVERAGE('11 KF'!$E$132,'11 KF'!$E$133))))</f>
        <v>0</v>
      </c>
      <c r="S17" s="1542">
        <f>'1 CIN'!T11*IF($T$47="ŽELEZNIČNÍ",'11 KF'!$E$132,IF($T$47="SILNIČNÍ",'11 KF'!$E$133,IF($T$47="VODNÍ",'11 KF'!$E$134,AVERAGE('11 KF'!$E$132,'11 KF'!$E$133))))</f>
        <v>0</v>
      </c>
      <c r="T17" s="1543">
        <f>'1 CIN'!U11*IF($T$47="ŽELEZNIČNÍ",'11 KF'!$E$132,IF($T$47="SILNIČNÍ",'11 KF'!$E$133,IF($T$47="VODNÍ",'11 KF'!$E$134,AVERAGE('11 KF'!$E$132,'11 KF'!$E$133))))</f>
        <v>0</v>
      </c>
      <c r="U17" s="1507"/>
      <c r="V17" s="1507"/>
      <c r="W17" s="1507"/>
      <c r="X17" s="1507"/>
      <c r="Y17" s="1507"/>
      <c r="Z17" s="1507"/>
      <c r="AA17" s="1507"/>
      <c r="AB17" s="1507"/>
      <c r="AC17" s="1507"/>
      <c r="AD17" s="1507"/>
    </row>
    <row r="18" spans="1:45" x14ac:dyDescent="0.3">
      <c r="A18" s="1505"/>
      <c r="B18" s="1601"/>
      <c r="C18" s="1602" t="str">
        <f>IF('0 Úvod'!$M$10="English",Slovnik!D600,Slovnik!C600)</f>
        <v>Zůstatková hodnota (záporná)</v>
      </c>
      <c r="D18" s="1426">
        <f>SUM(F18:T18,F40:T40)</f>
        <v>-265271208.96781883</v>
      </c>
      <c r="E18" s="1586"/>
      <c r="F18" s="1619">
        <f>IF(F2='0 Úvod'!$G$18+'0 Úvod'!$J$18-1,-1*'2 ZH'!$I$48,0)</f>
        <v>0</v>
      </c>
      <c r="G18" s="1542">
        <f>IF(G2='0 Úvod'!$G$18+'0 Úvod'!$J$18-1,-1*'2 ZH'!$I$48,0)</f>
        <v>0</v>
      </c>
      <c r="H18" s="1542">
        <f>IF(H2='0 Úvod'!$G$18+'0 Úvod'!$J$18-1,-1*'2 ZH'!$I$48,0)</f>
        <v>0</v>
      </c>
      <c r="I18" s="1542">
        <f>IF(I2='0 Úvod'!$G$18+'0 Úvod'!$J$18-1,-1*'2 ZH'!$I$48,0)</f>
        <v>0</v>
      </c>
      <c r="J18" s="1542">
        <f>IF(J2='0 Úvod'!$G$18+'0 Úvod'!$J$18-1,-1*'2 ZH'!$I$48,0)</f>
        <v>0</v>
      </c>
      <c r="K18" s="1542">
        <f>IF(K2='0 Úvod'!$G$18+'0 Úvod'!$J$18-1,-1*'2 ZH'!$I$48,0)</f>
        <v>0</v>
      </c>
      <c r="L18" s="1542">
        <f>IF(L2='0 Úvod'!$G$18+'0 Úvod'!$J$18-1,-1*'2 ZH'!$I$48,0)</f>
        <v>0</v>
      </c>
      <c r="M18" s="1542">
        <f>IF(M2='0 Úvod'!$G$18+'0 Úvod'!$J$18-1,-1*'2 ZH'!$I$48,0)</f>
        <v>0</v>
      </c>
      <c r="N18" s="1542">
        <f>IF(N2='0 Úvod'!$G$18+'0 Úvod'!$J$18-1,-1*'2 ZH'!$I$48,0)</f>
        <v>0</v>
      </c>
      <c r="O18" s="1542">
        <f>IF(O2='0 Úvod'!$G$18+'0 Úvod'!$J$18-1,-1*'2 ZH'!$I$48,0)</f>
        <v>0</v>
      </c>
      <c r="P18" s="1542">
        <f>IF(P2='0 Úvod'!$G$18+'0 Úvod'!$J$18-1,-1*'2 ZH'!$I$48,0)</f>
        <v>0</v>
      </c>
      <c r="Q18" s="1542">
        <f>IF(Q2='0 Úvod'!$G$18+'0 Úvod'!$J$18-1,-1*'2 ZH'!$I$48,0)</f>
        <v>0</v>
      </c>
      <c r="R18" s="1542">
        <f>IF(R2='0 Úvod'!$G$18+'0 Úvod'!$J$18-1,-1*'2 ZH'!$I$48,0)</f>
        <v>0</v>
      </c>
      <c r="S18" s="1542">
        <f>IF(S2='0 Úvod'!$G$18+'0 Úvod'!$J$18-1,-1*'2 ZH'!$I$48,0)</f>
        <v>0</v>
      </c>
      <c r="T18" s="1543">
        <f>IF(T2='0 Úvod'!$G$18+'0 Úvod'!$J$18-1,-1*'2 ZH'!$I$48,0)</f>
        <v>0</v>
      </c>
      <c r="U18" s="1507"/>
      <c r="V18" s="1507"/>
      <c r="W18" s="1507"/>
      <c r="X18" s="1507"/>
      <c r="Y18" s="1507"/>
      <c r="Z18" s="1507"/>
      <c r="AA18" s="1507"/>
      <c r="AB18" s="1507"/>
      <c r="AC18" s="1507"/>
      <c r="AD18" s="1507"/>
    </row>
    <row r="19" spans="1:45" x14ac:dyDescent="0.3">
      <c r="B19" s="1578"/>
      <c r="C19" s="1491" t="str">
        <f>IF('0 Úvod'!$M$10="English",Slovnik!D601,Slovnik!C601)</f>
        <v>Celkové náklady</v>
      </c>
      <c r="D19" s="1492">
        <f>SUM(D17:D18)</f>
        <v>331603718.80369985</v>
      </c>
      <c r="E19" s="1493"/>
      <c r="F19" s="1511">
        <f t="shared" ref="F19:T19" si="3">SUM(F17:F18)</f>
        <v>69274368.738655925</v>
      </c>
      <c r="G19" s="1512">
        <f t="shared" si="3"/>
        <v>516322648.84486288</v>
      </c>
      <c r="H19" s="1512">
        <f t="shared" si="3"/>
        <v>11277910.188000001</v>
      </c>
      <c r="I19" s="1512">
        <f t="shared" si="3"/>
        <v>0</v>
      </c>
      <c r="J19" s="1512">
        <f t="shared" si="3"/>
        <v>0</v>
      </c>
      <c r="K19" s="1512">
        <f t="shared" si="3"/>
        <v>0</v>
      </c>
      <c r="L19" s="1512">
        <f t="shared" si="3"/>
        <v>0</v>
      </c>
      <c r="M19" s="1512">
        <f t="shared" si="3"/>
        <v>0</v>
      </c>
      <c r="N19" s="1512">
        <f t="shared" si="3"/>
        <v>0</v>
      </c>
      <c r="O19" s="1512">
        <f t="shared" si="3"/>
        <v>0</v>
      </c>
      <c r="P19" s="1512">
        <f t="shared" si="3"/>
        <v>0</v>
      </c>
      <c r="Q19" s="1512">
        <f t="shared" si="3"/>
        <v>0</v>
      </c>
      <c r="R19" s="1512">
        <f t="shared" si="3"/>
        <v>0</v>
      </c>
      <c r="S19" s="1512">
        <f t="shared" si="3"/>
        <v>0</v>
      </c>
      <c r="T19" s="1513">
        <f t="shared" si="3"/>
        <v>0</v>
      </c>
      <c r="U19" s="1514"/>
      <c r="V19" s="1514"/>
      <c r="W19" s="1514"/>
      <c r="X19" s="1514"/>
      <c r="Y19" s="1514"/>
      <c r="Z19" s="1514"/>
      <c r="AA19" s="1514"/>
      <c r="AB19" s="1514"/>
      <c r="AC19" s="1514"/>
      <c r="AD19" s="1514"/>
    </row>
    <row r="20" spans="1:45" x14ac:dyDescent="0.3">
      <c r="B20" s="1579"/>
      <c r="C20" s="1494" t="str">
        <f>IF('0 Úvod'!$M$10="English",Slovnik!D602,Slovnik!C602)</f>
        <v xml:space="preserve">Cash Flow </v>
      </c>
      <c r="D20" s="1373">
        <f>SUM(F20:T20,F42:T42)</f>
        <v>697515569.35098386</v>
      </c>
      <c r="E20" s="1495"/>
      <c r="F20" s="1515">
        <f t="shared" ref="F20:T20" si="4">F16-F19</f>
        <v>-69274368.738655925</v>
      </c>
      <c r="G20" s="1516">
        <f t="shared" si="4"/>
        <v>-516322648.84486288</v>
      </c>
      <c r="H20" s="1516">
        <f t="shared" si="4"/>
        <v>301078685.84362417</v>
      </c>
      <c r="I20" s="1516">
        <f t="shared" si="4"/>
        <v>15144693.339030817</v>
      </c>
      <c r="J20" s="1516">
        <f t="shared" si="4"/>
        <v>15450956.037553785</v>
      </c>
      <c r="K20" s="1516">
        <f t="shared" si="4"/>
        <v>27532182.304429114</v>
      </c>
      <c r="L20" s="1516">
        <f t="shared" si="4"/>
        <v>27896236.446793273</v>
      </c>
      <c r="M20" s="1516">
        <f t="shared" si="4"/>
        <v>28267159.383598078</v>
      </c>
      <c r="N20" s="1516">
        <f t="shared" si="4"/>
        <v>139753881.76646289</v>
      </c>
      <c r="O20" s="1516">
        <f t="shared" si="4"/>
        <v>29030136.748681225</v>
      </c>
      <c r="P20" s="1516">
        <f t="shared" si="4"/>
        <v>29373514.128367953</v>
      </c>
      <c r="Q20" s="1516">
        <f t="shared" si="4"/>
        <v>29722540.759186089</v>
      </c>
      <c r="R20" s="1516">
        <f t="shared" si="4"/>
        <v>30077310.017335255</v>
      </c>
      <c r="S20" s="1516">
        <f t="shared" si="4"/>
        <v>30437916.828026935</v>
      </c>
      <c r="T20" s="1517">
        <f t="shared" si="4"/>
        <v>30804457.691269182</v>
      </c>
      <c r="U20" s="958"/>
      <c r="V20" s="958"/>
      <c r="W20" s="958"/>
      <c r="X20" s="958"/>
      <c r="Y20" s="958"/>
      <c r="Z20" s="958"/>
      <c r="AA20" s="958"/>
      <c r="AB20" s="958"/>
      <c r="AC20" s="958"/>
      <c r="AD20" s="958"/>
      <c r="AE20" s="1507"/>
      <c r="AF20" s="1507"/>
      <c r="AG20" s="1507"/>
      <c r="AH20" s="1507"/>
      <c r="AI20" s="1507"/>
      <c r="AJ20" s="1507"/>
      <c r="AK20" s="1507"/>
      <c r="AL20" s="1507"/>
      <c r="AM20" s="1507"/>
      <c r="AN20" s="1507"/>
      <c r="AO20" s="1507"/>
      <c r="AP20" s="1507"/>
      <c r="AQ20" s="1507"/>
      <c r="AR20" s="1507"/>
      <c r="AS20" s="1507"/>
    </row>
    <row r="21" spans="1:45" x14ac:dyDescent="0.3">
      <c r="A21" s="1518"/>
      <c r="B21" s="1406"/>
      <c r="C21" s="1602" t="str">
        <f>IF('0 Úvod'!$M$10="English",Slovnik!D603,Slovnik!C603)</f>
        <v>Diskontní sazba</v>
      </c>
      <c r="D21" s="1620">
        <f>'0 Úvod'!K20</f>
        <v>0.05</v>
      </c>
      <c r="E21" s="1621"/>
      <c r="F21" s="1622">
        <v>1</v>
      </c>
      <c r="G21" s="1574">
        <f>F21/(1+$D$21)</f>
        <v>0.95238095238095233</v>
      </c>
      <c r="H21" s="1574">
        <f t="shared" ref="H21:T21" si="5">G21/(1+$D$21)</f>
        <v>0.90702947845804982</v>
      </c>
      <c r="I21" s="1574">
        <f t="shared" si="5"/>
        <v>0.86383759853147601</v>
      </c>
      <c r="J21" s="1574">
        <f t="shared" si="5"/>
        <v>0.82270247479188185</v>
      </c>
      <c r="K21" s="1574">
        <f t="shared" si="5"/>
        <v>0.78352616646845885</v>
      </c>
      <c r="L21" s="1574">
        <f t="shared" si="5"/>
        <v>0.74621539663662739</v>
      </c>
      <c r="M21" s="1574">
        <f t="shared" si="5"/>
        <v>0.71068133013012125</v>
      </c>
      <c r="N21" s="1574">
        <f t="shared" si="5"/>
        <v>0.67683936202868689</v>
      </c>
      <c r="O21" s="1574">
        <f t="shared" si="5"/>
        <v>0.64460891621779703</v>
      </c>
      <c r="P21" s="1574">
        <f t="shared" si="5"/>
        <v>0.6139132535407591</v>
      </c>
      <c r="Q21" s="1574">
        <f t="shared" si="5"/>
        <v>0.58467928908643718</v>
      </c>
      <c r="R21" s="1574">
        <f t="shared" si="5"/>
        <v>0.55683741817755916</v>
      </c>
      <c r="S21" s="1574">
        <f t="shared" si="5"/>
        <v>0.5303213506452944</v>
      </c>
      <c r="T21" s="1575">
        <f t="shared" si="5"/>
        <v>0.50506795299551843</v>
      </c>
      <c r="U21" s="1519"/>
      <c r="V21" s="1519"/>
      <c r="W21" s="1519"/>
      <c r="X21" s="1519"/>
      <c r="Y21" s="1519"/>
      <c r="Z21" s="1519"/>
      <c r="AA21" s="1519"/>
      <c r="AB21" s="1519"/>
      <c r="AC21" s="1519"/>
      <c r="AD21" s="1519"/>
    </row>
    <row r="22" spans="1:45" s="1507" customFormat="1" ht="15" thickBot="1" x14ac:dyDescent="0.35">
      <c r="A22" s="958"/>
      <c r="B22" s="1603"/>
      <c r="C22" s="1604" t="str">
        <f>IF('0 Úvod'!$M$10="English",Slovnik!D604,Slovnik!C604)</f>
        <v>Diskontní cash flow</v>
      </c>
      <c r="D22" s="1623">
        <f>SUM(F22:T22,F44:T44)</f>
        <v>179930222.22320598</v>
      </c>
      <c r="E22" s="1624"/>
      <c r="F22" s="1625">
        <f>F20*F21</f>
        <v>-69274368.738655925</v>
      </c>
      <c r="G22" s="1576">
        <f t="shared" ref="G22:T22" si="6">G20*G21</f>
        <v>-491735856.04272652</v>
      </c>
      <c r="H22" s="1576">
        <f t="shared" si="6"/>
        <v>273087243.39557749</v>
      </c>
      <c r="I22" s="1576">
        <f t="shared" si="6"/>
        <v>13082555.524484022</v>
      </c>
      <c r="J22" s="1576">
        <f t="shared" si="6"/>
        <v>12711539.769996068</v>
      </c>
      <c r="K22" s="1576">
        <f t="shared" si="6"/>
        <v>21572185.255500082</v>
      </c>
      <c r="L22" s="1576">
        <f t="shared" si="6"/>
        <v>20816601.144812983</v>
      </c>
      <c r="M22" s="1576">
        <f t="shared" si="6"/>
        <v>20088942.42973562</v>
      </c>
      <c r="N22" s="1576">
        <f t="shared" si="6"/>
        <v>94590928.17584528</v>
      </c>
      <c r="O22" s="1576">
        <f t="shared" si="6"/>
        <v>18713084.987221848</v>
      </c>
      <c r="P22" s="1576">
        <f t="shared" si="6"/>
        <v>18032789.626471825</v>
      </c>
      <c r="Q22" s="1576">
        <f t="shared" si="6"/>
        <v>17378154.000923574</v>
      </c>
      <c r="R22" s="1576">
        <f t="shared" si="6"/>
        <v>16748171.655779</v>
      </c>
      <c r="S22" s="1576">
        <f t="shared" si="6"/>
        <v>16141877.16306838</v>
      </c>
      <c r="T22" s="1577">
        <f t="shared" si="6"/>
        <v>15558344.389266379</v>
      </c>
      <c r="U22" s="958"/>
      <c r="V22" s="958"/>
      <c r="W22" s="958"/>
      <c r="X22" s="958"/>
      <c r="Y22" s="958"/>
      <c r="Z22" s="958"/>
      <c r="AA22" s="958"/>
      <c r="AB22" s="958"/>
      <c r="AC22" s="958"/>
      <c r="AD22" s="958"/>
    </row>
    <row r="23" spans="1:45" ht="13.5" customHeight="1" thickBot="1" x14ac:dyDescent="0.35">
      <c r="C23" s="1523"/>
      <c r="F23" s="1524">
        <f>IF(F2&gt;='0 Úvod'!$G$20,IF($T$47="ŽELEZNIČNÍ",F4+F8,IF($T$47="SILNIČNÍ",F5+F9,IF($T$47="VODNÍ",F6+F10,F7+F11))),0)</f>
        <v>0</v>
      </c>
      <c r="G23" s="1524">
        <f>IF(G2&gt;='0 Úvod'!$G$20,IF($T$47="ŽELEZNIČNÍ",G4+G8,IF($T$47="SILNIČNÍ",G5+G9,IF($T$47="VODNÍ",G6+G10,G7+G11))),0)</f>
        <v>0</v>
      </c>
      <c r="H23" s="1524">
        <f>IF(H2&gt;='0 Úvod'!$G$20,IF($T$47="ŽELEZNIČNÍ",H4+H8,IF($T$47="SILNIČNÍ",H5+H9,IF($T$47="VODNÍ",H6+H10,H7+H11))),0)</f>
        <v>218804311.40086311</v>
      </c>
      <c r="I23" s="1524">
        <f>IF(I2&gt;='0 Úvod'!$G$20,IF($T$47="ŽELEZNIČNÍ",I4+I8,IF($T$47="SILNIČNÍ",I5+I9,IF($T$47="VODNÍ",I6+I10,I7+I11))),0)</f>
        <v>852759.0156524874</v>
      </c>
      <c r="J23" s="1524">
        <f>IF(J2&gt;='0 Úvod'!$G$20,IF($T$47="ŽELEZNIČNÍ",J4+J8,IF($T$47="SILNIČNÍ",J5+J9,IF($T$47="VODNÍ",J6+J10,J7+J11))),0)</f>
        <v>853973.7251508435</v>
      </c>
      <c r="K23" s="1524">
        <f>IF(K2&gt;='0 Úvod'!$G$20,IF($T$47="ŽELEZNIČNÍ",K4+K8,IF($T$47="SILNIČNÍ",K5+K9,IF($T$47="VODNÍ",K6+K10,K7+K11))),0)</f>
        <v>-4479996.6824238552</v>
      </c>
      <c r="L23" s="1524">
        <f>IF(L2&gt;='0 Úvod'!$G$20,IF($T$47="ŽELEZNIČNÍ",L4+L8,IF($T$47="SILNIČNÍ",L5+L9,IF($T$47="VODNÍ",L6+L10,L7+L11))),0)</f>
        <v>-4478769.7954627778</v>
      </c>
      <c r="M23" s="1524">
        <f>IF(M2&gt;='0 Úvod'!$G$20,IF($T$47="ŽELEZNIČNÍ",M4+M8,IF($T$47="SILNIČNÍ",M5+M9,IF($T$47="VODNÍ",M6+M10,M7+M11))),0)</f>
        <v>-4477536.7740668971</v>
      </c>
      <c r="N23" s="1524">
        <f>IF(N2&gt;='0 Úvod'!$G$20,IF($T$47="ŽELEZNIČNÍ",N4+N8,IF($T$47="SILNIČNÍ",N5+N9,IF($T$47="VODNÍ",N6+N10,N7+N11))),0)</f>
        <v>106632502.41243596</v>
      </c>
      <c r="O23" s="1524">
        <f>IF(O2&gt;='0 Úvod'!$G$20,IF($T$47="ŽELEZNIČNÍ",O4+O8,IF($T$47="SILNIČNÍ",O5+O9,IF($T$47="VODNÍ",O6+O10,O7+O11))),0)</f>
        <v>-4475052.2051286595</v>
      </c>
      <c r="P23" s="1524">
        <f>IF(P2&gt;='0 Úvod'!$G$20,IF($T$47="ŽELEZNIČNÍ",P4+P8,IF($T$47="SILNIČNÍ",P5+P9,IF($T$47="VODNÍ",P6+P10,P7+P11))),0)</f>
        <v>-4473800.5957811074</v>
      </c>
      <c r="Q23" s="1524">
        <f>IF(Q2&gt;='0 Úvod'!$G$20,IF($T$47="ŽELEZNIČNÍ",Q4+Q8,IF($T$47="SILNIČNÍ",Q5+Q9,IF($T$47="VODNÍ",Q6+Q10,Q7+Q11))),0)</f>
        <v>-4472542.7283868166</v>
      </c>
      <c r="R23" s="1524">
        <f>IF(R2&gt;='0 Úvod'!$G$20,IF($T$47="ŽELEZNIČNÍ",R4+R8,IF($T$47="SILNIČNÍ",R5+R9,IF($T$47="VODNÍ",R6+R10,R7+R11))),0)</f>
        <v>-4471278.5716555556</v>
      </c>
      <c r="S23" s="1524">
        <f>IF(S2&gt;='0 Úvod'!$G$20,IF($T$47="ŽELEZNIČNÍ",S4+S8,IF($T$47="SILNIČNÍ",S5+S9,IF($T$47="VODNÍ",S6+S10,S7+S11))),0)</f>
        <v>-4470008.0941406377</v>
      </c>
      <c r="T23" s="1524">
        <f>IF(T2&gt;='0 Úvod'!$G$20,IF($T$47="ŽELEZNIČNÍ",T4+T8,IF($T$47="SILNIČNÍ",T5+T9,IF($T$47="VODNÍ",T6+T10,T7+T11))),0)</f>
        <v>-4468731.2642381443</v>
      </c>
      <c r="U23" s="1507"/>
      <c r="V23" s="1507"/>
      <c r="W23" s="1507"/>
      <c r="X23" s="1507"/>
      <c r="Y23" s="1507"/>
      <c r="Z23" s="1507"/>
      <c r="AA23" s="1507"/>
      <c r="AB23" s="1507"/>
      <c r="AC23" s="1507"/>
    </row>
    <row r="24" spans="1:45" x14ac:dyDescent="0.3">
      <c r="B24" s="1588" t="str">
        <f>B2</f>
        <v xml:space="preserve">12.1. </v>
      </c>
      <c r="C24" s="1589" t="str">
        <f>C2</f>
        <v>Ekonomická analýza (CZK)</v>
      </c>
      <c r="D24" s="1562"/>
      <c r="E24" s="1582"/>
      <c r="F24" s="2363">
        <f>T2+1</f>
        <v>2036</v>
      </c>
      <c r="G24" s="2361">
        <f t="shared" ref="G24:T24" si="7">F24+1</f>
        <v>2037</v>
      </c>
      <c r="H24" s="2361">
        <f t="shared" si="7"/>
        <v>2038</v>
      </c>
      <c r="I24" s="2361">
        <f t="shared" si="7"/>
        <v>2039</v>
      </c>
      <c r="J24" s="2361">
        <f t="shared" si="7"/>
        <v>2040</v>
      </c>
      <c r="K24" s="2361">
        <f t="shared" si="7"/>
        <v>2041</v>
      </c>
      <c r="L24" s="2361">
        <f t="shared" si="7"/>
        <v>2042</v>
      </c>
      <c r="M24" s="2361">
        <f t="shared" si="7"/>
        <v>2043</v>
      </c>
      <c r="N24" s="2361">
        <f t="shared" si="7"/>
        <v>2044</v>
      </c>
      <c r="O24" s="2361">
        <f t="shared" si="7"/>
        <v>2045</v>
      </c>
      <c r="P24" s="2361">
        <f t="shared" si="7"/>
        <v>2046</v>
      </c>
      <c r="Q24" s="2361">
        <f t="shared" si="7"/>
        <v>2047</v>
      </c>
      <c r="R24" s="2361">
        <f t="shared" si="7"/>
        <v>2048</v>
      </c>
      <c r="S24" s="2361">
        <f t="shared" si="7"/>
        <v>2049</v>
      </c>
      <c r="T24" s="2365">
        <f t="shared" si="7"/>
        <v>2050</v>
      </c>
      <c r="U24" s="669"/>
      <c r="V24" s="669"/>
      <c r="W24" s="669"/>
      <c r="X24" s="669"/>
      <c r="Y24" s="669"/>
      <c r="Z24" s="669"/>
      <c r="AA24" s="669"/>
      <c r="AB24" s="669"/>
      <c r="AC24" s="669"/>
      <c r="AD24" s="669"/>
    </row>
    <row r="25" spans="1:45" ht="15" thickBot="1" x14ac:dyDescent="0.35">
      <c r="A25" s="1505"/>
      <c r="B25" s="1590" t="s">
        <v>24</v>
      </c>
      <c r="C25" s="1591"/>
      <c r="D25" s="1560"/>
      <c r="E25" s="1583"/>
      <c r="F25" s="2651"/>
      <c r="G25" s="2648"/>
      <c r="H25" s="2648"/>
      <c r="I25" s="2648"/>
      <c r="J25" s="2648"/>
      <c r="K25" s="2648"/>
      <c r="L25" s="2648"/>
      <c r="M25" s="2648"/>
      <c r="N25" s="2648"/>
      <c r="O25" s="2648"/>
      <c r="P25" s="2648"/>
      <c r="Q25" s="2648"/>
      <c r="R25" s="2648"/>
      <c r="S25" s="2648"/>
      <c r="T25" s="2654"/>
      <c r="U25" s="669"/>
      <c r="V25" s="669"/>
      <c r="W25" s="669"/>
      <c r="X25" s="669"/>
      <c r="Y25" s="669"/>
      <c r="Z25" s="669"/>
      <c r="AA25" s="669"/>
      <c r="AB25" s="669"/>
      <c r="AC25" s="669"/>
      <c r="AD25" s="669"/>
    </row>
    <row r="26" spans="1:45" x14ac:dyDescent="0.3">
      <c r="A26" s="1505"/>
      <c r="B26" s="1398"/>
      <c r="C26" s="1602" t="str">
        <f>C4</f>
        <v>Celkem PN infrastruktury železnice - úspora</v>
      </c>
      <c r="D26" s="1605"/>
      <c r="E26" s="1606"/>
      <c r="F26" s="1540">
        <f>IF(F24&lt;='0 Úvod'!$G$18+'0 Úvod'!$J$18-1,-'3 PN infrastruktury'!E71*'11 KF'!$E$135-'3 PN infrastruktury'!E72*'11 KF'!$E$136-'3 PN infrastruktury'!E73*'11 KF'!$E$137,0)</f>
        <v>867743.14043440635</v>
      </c>
      <c r="G26" s="1540">
        <f>IF(G24&lt;='0 Úvod'!$G$18+'0 Úvod'!$J$18-1,-'3 PN infrastruktury'!F71*'11 KF'!$E$135-'3 PN infrastruktury'!F72*'11 KF'!$E$136-'3 PN infrastruktury'!F73*'11 KF'!$E$137,0)</f>
        <v>869032.77055666992</v>
      </c>
      <c r="H26" s="1540">
        <f>IF(H24&lt;='0 Úvod'!$G$18+'0 Úvod'!$J$18-1,-'3 PN infrastruktury'!G71*'11 KF'!$E$135-'3 PN infrastruktury'!G72*'11 KF'!$E$136-'3 PN infrastruktury'!G73*'11 KF'!$E$137,0)</f>
        <v>870328.84882954601</v>
      </c>
      <c r="I26" s="1540">
        <f>IF(I24&lt;='0 Úvod'!$G$18+'0 Úvod'!$J$18-1,-'3 PN infrastruktury'!H71*'11 KF'!$E$135-'3 PN infrastruktury'!H72*'11 KF'!$E$136-'3 PN infrastruktury'!H73*'11 KF'!$E$137,0)</f>
        <v>871631.40749378758</v>
      </c>
      <c r="J26" s="1540">
        <f>IF(J24&lt;='0 Úvod'!$G$18+'0 Úvod'!$J$18-1,-'3 PN infrastruktury'!I71*'11 KF'!$E$135-'3 PN infrastruktury'!I72*'11 KF'!$E$136-'3 PN infrastruktury'!I73*'11 KF'!$E$137,0)</f>
        <v>872940.47895134904</v>
      </c>
      <c r="K26" s="1540">
        <f>IF(K24&lt;='0 Úvod'!$G$18+'0 Úvod'!$J$18-1,-'3 PN infrastruktury'!J71*'11 KF'!$E$135-'3 PN infrastruktury'!J72*'11 KF'!$E$136-'3 PN infrastruktury'!J73*'11 KF'!$E$137,0)</f>
        <v>874256.09576620045</v>
      </c>
      <c r="L26" s="1540">
        <f>IF(L24&lt;='0 Úvod'!$G$18+'0 Úvod'!$J$18-1,-'3 PN infrastruktury'!K71*'11 KF'!$E$135-'3 PN infrastruktury'!K72*'11 KF'!$E$136-'3 PN infrastruktury'!K73*'11 KF'!$E$137,0)</f>
        <v>875578.29066512373</v>
      </c>
      <c r="M26" s="1540">
        <f>IF(M24&lt;='0 Úvod'!$G$18+'0 Úvod'!$J$18-1,-'3 PN infrastruktury'!L71*'11 KF'!$E$135-'3 PN infrastruktury'!L72*'11 KF'!$E$136-'3 PN infrastruktury'!L73*'11 KF'!$E$137,0)</f>
        <v>-5401885.4534851927</v>
      </c>
      <c r="N26" s="1540">
        <f>IF(N24&lt;='0 Úvod'!$G$18+'0 Úvod'!$J$18-1,-'3 PN infrastruktury'!M71*'11 KF'!$E$135-'3 PN infrastruktury'!M72*'11 KF'!$E$136-'3 PN infrastruktury'!M73*'11 KF'!$E$137,0)</f>
        <v>878242.54644132743</v>
      </c>
      <c r="O26" s="1540">
        <f>IF(O24&lt;='0 Úvod'!$G$18+'0 Úvod'!$J$18-1,-'3 PN infrastruktury'!N71*'11 KF'!$E$135-'3 PN infrastruktury'!N72*'11 KF'!$E$136-'3 PN infrastruktury'!N73*'11 KF'!$E$137,0)</f>
        <v>879584.67359362729</v>
      </c>
      <c r="P26" s="1540">
        <f>IF(P24&lt;='0 Úvod'!$G$18+'0 Úvod'!$J$18-1,-'3 PN infrastruktury'!O71*'11 KF'!$E$135-'3 PN infrastruktury'!O72*'11 KF'!$E$136-'3 PN infrastruktury'!O73*'11 KF'!$E$137,0)</f>
        <v>880933.51138168818</v>
      </c>
      <c r="Q26" s="1540">
        <f>IF(Q24&lt;='0 Úvod'!$G$18+'0 Úvod'!$J$18-1,-'3 PN infrastruktury'!P71*'11 KF'!$E$135-'3 PN infrastruktury'!P72*'11 KF'!$E$136-'3 PN infrastruktury'!P73*'11 KF'!$E$137,0)</f>
        <v>882289.0933586905</v>
      </c>
      <c r="R26" s="1540">
        <f>IF(R24&lt;='0 Úvod'!$G$18+'0 Úvod'!$J$18-1,-'3 PN infrastruktury'!Q71*'11 KF'!$E$135-'3 PN infrastruktury'!Q72*'11 KF'!$E$136-'3 PN infrastruktury'!Q73*'11 KF'!$E$137,0)</f>
        <v>-99425226.986845076</v>
      </c>
      <c r="S26" s="1540">
        <f>IF(S24&lt;='0 Úvod'!$G$18+'0 Úvod'!$J$18-1,-'3 PN infrastruktury'!R71*'11 KF'!$E$135-'3 PN infrastruktury'!R72*'11 KF'!$E$136-'3 PN infrastruktury'!R73*'11 KF'!$E$137,0)</f>
        <v>885020.62493189704</v>
      </c>
      <c r="T26" s="1541">
        <f>IF(T24&lt;='0 Úvod'!$G$18+'0 Úvod'!$J$18-1,-'3 PN infrastruktury'!S71*'11 KF'!$E$135-'3 PN infrastruktury'!S72*'11 KF'!$E$136-'3 PN infrastruktury'!S73*'11 KF'!$E$137,0)</f>
        <v>-117548450.07957789</v>
      </c>
      <c r="U26" s="1507"/>
      <c r="V26" s="1507"/>
      <c r="W26" s="1507"/>
      <c r="X26" s="1507"/>
      <c r="Y26" s="1507"/>
      <c r="Z26" s="1507"/>
      <c r="AA26" s="1507"/>
      <c r="AB26" s="1507"/>
      <c r="AC26" s="1507"/>
      <c r="AD26" s="1507"/>
    </row>
    <row r="27" spans="1:45" x14ac:dyDescent="0.3">
      <c r="A27" s="1505"/>
      <c r="B27" s="1398"/>
      <c r="C27" s="1602" t="str">
        <f>C5</f>
        <v>Celkem PN infrastruktura silnice - úspora</v>
      </c>
      <c r="D27" s="1607"/>
      <c r="E27" s="1608"/>
      <c r="F27" s="1542">
        <f>IF(F24&lt;='0 Úvod'!$G$18+'0 Úvod'!$J$18-1,IF($T$47="SILNIČNÍ",-('3 PN infrastruktury'!E74-('3 PN infrastruktury'!E20-'3 PN infrastruktury'!E47))*'11 KF'!$E$139,-'3 PN infrastruktury'!E74*'11 KF'!$E$139-'3 PN infrastruktury'!E75*'11 KF'!$E$140),0)</f>
        <v>9048.3745886436609</v>
      </c>
      <c r="G27" s="1542">
        <f>IF(G24&lt;='0 Úvod'!$G$18+'0 Úvod'!$J$18-1,IF($T$47="SILNIČNÍ",-('3 PN infrastruktury'!F74-('3 PN infrastruktury'!F20-'3 PN infrastruktury'!F47))*'11 KF'!$E$139,-'3 PN infrastruktury'!F74*'11 KF'!$E$139-'3 PN infrastruktury'!F75*'11 KF'!$E$140),0)</f>
        <v>9048.3745886436609</v>
      </c>
      <c r="H27" s="1542">
        <f>IF(H24&lt;='0 Úvod'!$G$18+'0 Úvod'!$J$18-1,IF($T$47="SILNIČNÍ",-('3 PN infrastruktury'!G74-('3 PN infrastruktury'!G20-'3 PN infrastruktury'!G47))*'11 KF'!$E$139,-'3 PN infrastruktury'!G74*'11 KF'!$E$139-'3 PN infrastruktury'!G75*'11 KF'!$E$140),0)</f>
        <v>9048.3745886436609</v>
      </c>
      <c r="I27" s="1542">
        <f>IF(I24&lt;='0 Úvod'!$G$18+'0 Úvod'!$J$18-1,IF($T$47="SILNIČNÍ",-('3 PN infrastruktury'!H74-('3 PN infrastruktury'!H20-'3 PN infrastruktury'!H47))*'11 KF'!$E$139,-'3 PN infrastruktury'!H74*'11 KF'!$E$139-'3 PN infrastruktury'!H75*'11 KF'!$E$140),0)</f>
        <v>9048.3745886436609</v>
      </c>
      <c r="J27" s="1542">
        <f>IF(J24&lt;='0 Úvod'!$G$18+'0 Úvod'!$J$18-1,IF($T$47="SILNIČNÍ",-('3 PN infrastruktury'!I74-('3 PN infrastruktury'!I20-'3 PN infrastruktury'!I47))*'11 KF'!$E$139,-'3 PN infrastruktury'!I74*'11 KF'!$E$139-'3 PN infrastruktury'!I75*'11 KF'!$E$140),0)</f>
        <v>9048.3745886436609</v>
      </c>
      <c r="K27" s="1542">
        <f>IF(K24&lt;='0 Úvod'!$G$18+'0 Úvod'!$J$18-1,IF($T$47="SILNIČNÍ",-('3 PN infrastruktury'!J74-('3 PN infrastruktury'!J20-'3 PN infrastruktury'!J47))*'11 KF'!$E$139,-'3 PN infrastruktury'!J74*'11 KF'!$E$139-'3 PN infrastruktury'!J75*'11 KF'!$E$140),0)</f>
        <v>9048.3745886436609</v>
      </c>
      <c r="L27" s="1542">
        <f>IF(L24&lt;='0 Úvod'!$G$18+'0 Úvod'!$J$18-1,IF($T$47="SILNIČNÍ",-('3 PN infrastruktury'!K74-('3 PN infrastruktury'!K20-'3 PN infrastruktury'!K47))*'11 KF'!$E$139,-'3 PN infrastruktury'!K74*'11 KF'!$E$139-'3 PN infrastruktury'!K75*'11 KF'!$E$140),0)</f>
        <v>9048.3745886436609</v>
      </c>
      <c r="M27" s="1542">
        <f>IF(M24&lt;='0 Úvod'!$G$18+'0 Úvod'!$J$18-1,IF($T$47="SILNIČNÍ",-('3 PN infrastruktury'!L74-('3 PN infrastruktury'!L20-'3 PN infrastruktury'!L47))*'11 KF'!$E$139,-'3 PN infrastruktury'!L74*'11 KF'!$E$139-'3 PN infrastruktury'!L75*'11 KF'!$E$140),0)</f>
        <v>9048.3745886436609</v>
      </c>
      <c r="N27" s="1542">
        <f>IF(N24&lt;='0 Úvod'!$G$18+'0 Úvod'!$J$18-1,IF($T$47="SILNIČNÍ",-('3 PN infrastruktury'!M74-('3 PN infrastruktury'!M20-'3 PN infrastruktury'!M47))*'11 KF'!$E$139,-'3 PN infrastruktury'!M74*'11 KF'!$E$139-'3 PN infrastruktury'!M75*'11 KF'!$E$140),0)</f>
        <v>9048.3745886436609</v>
      </c>
      <c r="O27" s="1542">
        <f>IF(O24&lt;='0 Úvod'!$G$18+'0 Úvod'!$J$18-1,IF($T$47="SILNIČNÍ",-('3 PN infrastruktury'!N74-('3 PN infrastruktury'!N20-'3 PN infrastruktury'!N47))*'11 KF'!$E$139,-'3 PN infrastruktury'!N74*'11 KF'!$E$139-'3 PN infrastruktury'!N75*'11 KF'!$E$140),0)</f>
        <v>9048.3745886436609</v>
      </c>
      <c r="P27" s="1542">
        <f>IF(P24&lt;='0 Úvod'!$G$18+'0 Úvod'!$J$18-1,IF($T$47="SILNIČNÍ",-('3 PN infrastruktury'!O74-('3 PN infrastruktury'!O20-'3 PN infrastruktury'!O47))*'11 KF'!$E$139,-'3 PN infrastruktury'!O74*'11 KF'!$E$139-'3 PN infrastruktury'!O75*'11 KF'!$E$140),0)</f>
        <v>9048.3745886436609</v>
      </c>
      <c r="Q27" s="1542">
        <f>IF(Q24&lt;='0 Úvod'!$G$18+'0 Úvod'!$J$18-1,IF($T$47="SILNIČNÍ",-('3 PN infrastruktury'!P74-('3 PN infrastruktury'!P20-'3 PN infrastruktury'!P47))*'11 KF'!$E$139,-'3 PN infrastruktury'!P74*'11 KF'!$E$139-'3 PN infrastruktury'!P75*'11 KF'!$E$140),0)</f>
        <v>9048.3745886436609</v>
      </c>
      <c r="R27" s="1542">
        <f>IF(R24&lt;='0 Úvod'!$G$18+'0 Úvod'!$J$18-1,IF($T$47="SILNIČNÍ",-('3 PN infrastruktury'!Q74-('3 PN infrastruktury'!Q20-'3 PN infrastruktury'!Q47))*'11 KF'!$E$139,-'3 PN infrastruktury'!Q74*'11 KF'!$E$139-'3 PN infrastruktury'!Q75*'11 KF'!$E$140),0)</f>
        <v>9500.3191970126554</v>
      </c>
      <c r="S27" s="1542">
        <f>IF(S24&lt;='0 Úvod'!$G$18+'0 Úvod'!$J$18-1,IF($T$47="SILNIČNÍ",-('3 PN infrastruktury'!R74-('3 PN infrastruktury'!R20-'3 PN infrastruktury'!R47))*'11 KF'!$E$139,-'3 PN infrastruktury'!R74*'11 KF'!$E$139-'3 PN infrastruktury'!R75*'11 KF'!$E$140),0)</f>
        <v>9048.3745886436609</v>
      </c>
      <c r="T27" s="1543">
        <f>IF(T24&lt;='0 Úvod'!$G$18+'0 Úvod'!$J$18-1,IF($T$47="SILNIČNÍ",-('3 PN infrastruktury'!S74-('3 PN infrastruktury'!S20-'3 PN infrastruktury'!S47))*'11 KF'!$E$139,-'3 PN infrastruktury'!S74*'11 KF'!$E$139-'3 PN infrastruktury'!S75*'11 KF'!$E$140),0)</f>
        <v>9048.3745886436609</v>
      </c>
      <c r="U27" s="1507"/>
      <c r="V27" s="1507"/>
      <c r="W27" s="1507"/>
      <c r="X27" s="1507"/>
      <c r="Y27" s="1507"/>
      <c r="Z27" s="1507"/>
      <c r="AA27" s="1507"/>
      <c r="AB27" s="1507"/>
      <c r="AC27" s="1507"/>
      <c r="AD27" s="1507"/>
    </row>
    <row r="28" spans="1:45" x14ac:dyDescent="0.3">
      <c r="A28" s="1505"/>
      <c r="B28" s="1398"/>
      <c r="C28" s="1602" t="str">
        <f>C6</f>
        <v>Celkem PN infrastruktura voda - úspora</v>
      </c>
      <c r="D28" s="1607"/>
      <c r="E28" s="1608"/>
      <c r="F28" s="1542">
        <f>IF(F24&lt;='0 Úvod'!$G$18+'0 Úvod'!$J$18-1,-'3 PN infrastruktury'!E76*'11 KF'!$E$141-'3 PN infrastruktury'!E77*'11 KF'!$E$142,0)</f>
        <v>0</v>
      </c>
      <c r="G28" s="1542">
        <f>IF(G24&lt;='0 Úvod'!$G$18+'0 Úvod'!$J$18-1,-'3 PN infrastruktury'!F76*'11 KF'!$E$141-'3 PN infrastruktury'!F77*'11 KF'!$E$142,0)</f>
        <v>0</v>
      </c>
      <c r="H28" s="1542">
        <f>IF(H24&lt;='0 Úvod'!$G$18+'0 Úvod'!$J$18-1,-'3 PN infrastruktury'!G76*'11 KF'!$E$141-'3 PN infrastruktury'!G77*'11 KF'!$E$142,0)</f>
        <v>0</v>
      </c>
      <c r="I28" s="1542">
        <f>IF(I24&lt;='0 Úvod'!$G$18+'0 Úvod'!$J$18-1,-'3 PN infrastruktury'!H76*'11 KF'!$E$141-'3 PN infrastruktury'!H77*'11 KF'!$E$142,0)</f>
        <v>0</v>
      </c>
      <c r="J28" s="1542">
        <f>IF(J24&lt;='0 Úvod'!$G$18+'0 Úvod'!$J$18-1,-'3 PN infrastruktury'!I76*'11 KF'!$E$141-'3 PN infrastruktury'!I77*'11 KF'!$E$142,0)</f>
        <v>0</v>
      </c>
      <c r="K28" s="1542">
        <f>IF(K24&lt;='0 Úvod'!$G$18+'0 Úvod'!$J$18-1,-'3 PN infrastruktury'!J76*'11 KF'!$E$141-'3 PN infrastruktury'!J77*'11 KF'!$E$142,0)</f>
        <v>0</v>
      </c>
      <c r="L28" s="1542">
        <f>IF(L24&lt;='0 Úvod'!$G$18+'0 Úvod'!$J$18-1,-'3 PN infrastruktury'!K76*'11 KF'!$E$141-'3 PN infrastruktury'!K77*'11 KF'!$E$142,0)</f>
        <v>0</v>
      </c>
      <c r="M28" s="1542">
        <f>IF(M24&lt;='0 Úvod'!$G$18+'0 Úvod'!$J$18-1,-'3 PN infrastruktury'!L76*'11 KF'!$E$141-'3 PN infrastruktury'!L77*'11 KF'!$E$142,0)</f>
        <v>0</v>
      </c>
      <c r="N28" s="1542">
        <f>IF(N24&lt;='0 Úvod'!$G$18+'0 Úvod'!$J$18-1,-'3 PN infrastruktury'!M76*'11 KF'!$E$141-'3 PN infrastruktury'!M77*'11 KF'!$E$142,0)</f>
        <v>0</v>
      </c>
      <c r="O28" s="1542">
        <f>IF(O24&lt;='0 Úvod'!$G$18+'0 Úvod'!$J$18-1,-'3 PN infrastruktury'!N76*'11 KF'!$E$141-'3 PN infrastruktury'!N77*'11 KF'!$E$142,0)</f>
        <v>0</v>
      </c>
      <c r="P28" s="1542">
        <f>IF(P24&lt;='0 Úvod'!$G$18+'0 Úvod'!$J$18-1,-'3 PN infrastruktury'!O76*'11 KF'!$E$141-'3 PN infrastruktury'!O77*'11 KF'!$E$142,0)</f>
        <v>0</v>
      </c>
      <c r="Q28" s="1542">
        <f>IF(Q24&lt;='0 Úvod'!$G$18+'0 Úvod'!$J$18-1,-'3 PN infrastruktury'!P76*'11 KF'!$E$141-'3 PN infrastruktury'!P77*'11 KF'!$E$142,0)</f>
        <v>0</v>
      </c>
      <c r="R28" s="1542">
        <f>IF(R24&lt;='0 Úvod'!$G$18+'0 Úvod'!$J$18-1,-'3 PN infrastruktury'!Q76*'11 KF'!$E$141-'3 PN infrastruktury'!Q77*'11 KF'!$E$142,0)</f>
        <v>0</v>
      </c>
      <c r="S28" s="1542">
        <f>IF(S24&lt;='0 Úvod'!$G$18+'0 Úvod'!$J$18-1,-'3 PN infrastruktury'!R76*'11 KF'!$E$141-'3 PN infrastruktury'!R77*'11 KF'!$E$142,0)</f>
        <v>0</v>
      </c>
      <c r="T28" s="1543">
        <f>IF(T24&lt;='0 Úvod'!$G$18+'0 Úvod'!$J$18-1,-'3 PN infrastruktury'!S76*'11 KF'!$E$141-'3 PN infrastruktury'!S77*'11 KF'!$E$142,0)</f>
        <v>0</v>
      </c>
      <c r="U28" s="1507"/>
      <c r="V28" s="1507"/>
      <c r="W28" s="1507"/>
      <c r="X28" s="1507"/>
      <c r="Y28" s="1507"/>
      <c r="Z28" s="1507"/>
      <c r="AA28" s="1507"/>
      <c r="AB28" s="1507"/>
      <c r="AC28" s="1507"/>
      <c r="AD28" s="1507"/>
    </row>
    <row r="29" spans="1:45" x14ac:dyDescent="0.3">
      <c r="A29" s="1505"/>
      <c r="B29" s="1398"/>
      <c r="C29" s="1602" t="str">
        <f>IF('0 Úvod'!$M$10="English",Slovnik!D735,Slovnik!C735)</f>
        <v>Celkem PN infrastruktura ostatní - úspora</v>
      </c>
      <c r="D29" s="1607"/>
      <c r="E29" s="1608"/>
      <c r="F29" s="1542">
        <f>IF(F24&lt;='0 Úvod'!$G$18+'0 Úvod'!$J$18-1,-'3 PN infrastruktury'!E78*AVERAGE('11 KF'!$E$135,'11 KF'!$E$139)-'3 PN infrastruktury'!E79*AVERAGE('11 KF'!$E$136,'11 KF'!$E$140),0)</f>
        <v>0</v>
      </c>
      <c r="G29" s="1542">
        <f>IF(G24&lt;='0 Úvod'!$G$18+'0 Úvod'!$J$18-1,-'3 PN infrastruktury'!F78*AVERAGE('11 KF'!$E$135,'11 KF'!$E$139)-'3 PN infrastruktury'!F79*AVERAGE('11 KF'!$E$136,'11 KF'!$E$140),0)</f>
        <v>0</v>
      </c>
      <c r="H29" s="1542">
        <f>IF(H24&lt;='0 Úvod'!$G$18+'0 Úvod'!$J$18-1,-'3 PN infrastruktury'!G78*AVERAGE('11 KF'!$E$135,'11 KF'!$E$139)-'3 PN infrastruktury'!G79*AVERAGE('11 KF'!$E$136,'11 KF'!$E$140),0)</f>
        <v>0</v>
      </c>
      <c r="I29" s="1542">
        <f>IF(I24&lt;='0 Úvod'!$G$18+'0 Úvod'!$J$18-1,-'3 PN infrastruktury'!H78*AVERAGE('11 KF'!$E$135,'11 KF'!$E$139)-'3 PN infrastruktury'!H79*AVERAGE('11 KF'!$E$136,'11 KF'!$E$140),0)</f>
        <v>0</v>
      </c>
      <c r="J29" s="1542">
        <f>IF(J24&lt;='0 Úvod'!$G$18+'0 Úvod'!$J$18-1,-'3 PN infrastruktury'!I78*AVERAGE('11 KF'!$E$135,'11 KF'!$E$139)-'3 PN infrastruktury'!I79*AVERAGE('11 KF'!$E$136,'11 KF'!$E$140),0)</f>
        <v>0</v>
      </c>
      <c r="K29" s="1542">
        <f>IF(K24&lt;='0 Úvod'!$G$18+'0 Úvod'!$J$18-1,-'3 PN infrastruktury'!J78*AVERAGE('11 KF'!$E$135,'11 KF'!$E$139)-'3 PN infrastruktury'!J79*AVERAGE('11 KF'!$E$136,'11 KF'!$E$140),0)</f>
        <v>0</v>
      </c>
      <c r="L29" s="1542">
        <f>IF(L24&lt;='0 Úvod'!$G$18+'0 Úvod'!$J$18-1,-'3 PN infrastruktury'!K78*AVERAGE('11 KF'!$E$135,'11 KF'!$E$139)-'3 PN infrastruktury'!K79*AVERAGE('11 KF'!$E$136,'11 KF'!$E$140),0)</f>
        <v>0</v>
      </c>
      <c r="M29" s="1542">
        <f>IF(M24&lt;='0 Úvod'!$G$18+'0 Úvod'!$J$18-1,-'3 PN infrastruktury'!L78*AVERAGE('11 KF'!$E$135,'11 KF'!$E$139)-'3 PN infrastruktury'!L79*AVERAGE('11 KF'!$E$136,'11 KF'!$E$140),0)</f>
        <v>0</v>
      </c>
      <c r="N29" s="1542">
        <f>IF(N24&lt;='0 Úvod'!$G$18+'0 Úvod'!$J$18-1,-'3 PN infrastruktury'!M78*AVERAGE('11 KF'!$E$135,'11 KF'!$E$139)-'3 PN infrastruktury'!M79*AVERAGE('11 KF'!$E$136,'11 KF'!$E$140),0)</f>
        <v>0</v>
      </c>
      <c r="O29" s="1542">
        <f>IF(O24&lt;='0 Úvod'!$G$18+'0 Úvod'!$J$18-1,-'3 PN infrastruktury'!N78*AVERAGE('11 KF'!$E$135,'11 KF'!$E$139)-'3 PN infrastruktury'!N79*AVERAGE('11 KF'!$E$136,'11 KF'!$E$140),0)</f>
        <v>0</v>
      </c>
      <c r="P29" s="1542">
        <f>IF(P24&lt;='0 Úvod'!$G$18+'0 Úvod'!$J$18-1,-'3 PN infrastruktury'!O78*AVERAGE('11 KF'!$E$135,'11 KF'!$E$139)-'3 PN infrastruktury'!O79*AVERAGE('11 KF'!$E$136,'11 KF'!$E$140),0)</f>
        <v>0</v>
      </c>
      <c r="Q29" s="1542">
        <f>IF(Q24&lt;='0 Úvod'!$G$18+'0 Úvod'!$J$18-1,-'3 PN infrastruktury'!P78*AVERAGE('11 KF'!$E$135,'11 KF'!$E$139)-'3 PN infrastruktury'!P79*AVERAGE('11 KF'!$E$136,'11 KF'!$E$140),0)</f>
        <v>0</v>
      </c>
      <c r="R29" s="1542">
        <f>IF(R24&lt;='0 Úvod'!$G$18+'0 Úvod'!$J$18-1,-'3 PN infrastruktury'!Q78*AVERAGE('11 KF'!$E$135,'11 KF'!$E$139)-'3 PN infrastruktury'!Q79*AVERAGE('11 KF'!$E$136,'11 KF'!$E$140),0)</f>
        <v>0</v>
      </c>
      <c r="S29" s="1542">
        <f>IF(S24&lt;='0 Úvod'!$G$18+'0 Úvod'!$J$18-1,-'3 PN infrastruktury'!R78*AVERAGE('11 KF'!$E$135,'11 KF'!$E$139)-'3 PN infrastruktury'!R79*AVERAGE('11 KF'!$E$136,'11 KF'!$E$140),0)</f>
        <v>0</v>
      </c>
      <c r="T29" s="1543">
        <f>IF(T24&lt;='0 Úvod'!$G$18+'0 Úvod'!$J$18-1,-'3 PN infrastruktury'!S78*AVERAGE('11 KF'!$E$135,'11 KF'!$E$139)-'3 PN infrastruktury'!S79*AVERAGE('11 KF'!$E$136,'11 KF'!$E$140),0)</f>
        <v>0</v>
      </c>
      <c r="U29" s="1507"/>
      <c r="V29" s="1507"/>
      <c r="W29" s="1507"/>
      <c r="X29" s="1507"/>
      <c r="Y29" s="1507"/>
      <c r="Z29" s="1507"/>
      <c r="AA29" s="1507"/>
      <c r="AB29" s="1507"/>
      <c r="AC29" s="1507"/>
      <c r="AD29" s="1507"/>
    </row>
    <row r="30" spans="1:45" x14ac:dyDescent="0.3">
      <c r="A30" s="1505"/>
      <c r="B30" s="1398"/>
      <c r="C30" s="1602" t="str">
        <f>C8</f>
        <v>Celkem PN vozidel železnice - úspora</v>
      </c>
      <c r="D30" s="1607"/>
      <c r="E30" s="1608"/>
      <c r="F30" s="1542">
        <f>IF(F24&lt;='0 Úvod'!$G$18+'0 Úvod'!$J$18-1,-('4 PN vozidel'!E66+'4 PN vozidel'!E67)*'11 KF'!$E$138,0)</f>
        <v>-5335191.1906205453</v>
      </c>
      <c r="G30" s="1542">
        <f>IF(G24&lt;='0 Úvod'!$G$18+'0 Úvod'!$J$18-1,-('4 PN vozidel'!F66+'4 PN vozidel'!F67)*'11 KF'!$E$138,0)</f>
        <v>-5335191.1906205453</v>
      </c>
      <c r="H30" s="1542">
        <f>IF(H24&lt;='0 Úvod'!$G$18+'0 Úvod'!$J$18-1,-('4 PN vozidel'!G66+'4 PN vozidel'!G67)*'11 KF'!$E$138,0)</f>
        <v>-5335191.1906205453</v>
      </c>
      <c r="I30" s="1542">
        <f>IF(I24&lt;='0 Úvod'!$G$18+'0 Úvod'!$J$18-1,-('4 PN vozidel'!H66+'4 PN vozidel'!H67)*'11 KF'!$E$138,0)</f>
        <v>-5335191.1906205453</v>
      </c>
      <c r="J30" s="1542">
        <f>IF(J24&lt;='0 Úvod'!$G$18+'0 Úvod'!$J$18-1,-('4 PN vozidel'!I66+'4 PN vozidel'!I67)*'11 KF'!$E$138,0)</f>
        <v>-5335191.1906205453</v>
      </c>
      <c r="K30" s="1542">
        <f>IF(K24&lt;='0 Úvod'!$G$18+'0 Úvod'!$J$18-1,-('4 PN vozidel'!J66+'4 PN vozidel'!J67)*'11 KF'!$E$138,0)</f>
        <v>-5335191.1906205453</v>
      </c>
      <c r="L30" s="1542">
        <f>IF(L24&lt;='0 Úvod'!$G$18+'0 Úvod'!$J$18-1,-('4 PN vozidel'!K66+'4 PN vozidel'!K67)*'11 KF'!$E$138,0)</f>
        <v>-5335191.1906205453</v>
      </c>
      <c r="M30" s="1542">
        <f>IF(M24&lt;='0 Úvod'!$G$18+'0 Úvod'!$J$18-1,-('4 PN vozidel'!L66+'4 PN vozidel'!L67)*'11 KF'!$E$138,0)</f>
        <v>-5335191.1906205453</v>
      </c>
      <c r="N30" s="1542">
        <f>IF(N24&lt;='0 Úvod'!$G$18+'0 Úvod'!$J$18-1,-('4 PN vozidel'!M66+'4 PN vozidel'!M67)*'11 KF'!$E$138,0)</f>
        <v>-5335191.1906205453</v>
      </c>
      <c r="O30" s="1542">
        <f>IF(O24&lt;='0 Úvod'!$G$18+'0 Úvod'!$J$18-1,-('4 PN vozidel'!N66+'4 PN vozidel'!N67)*'11 KF'!$E$138,0)</f>
        <v>-5335191.1906205453</v>
      </c>
      <c r="P30" s="1542">
        <f>IF(P24&lt;='0 Úvod'!$G$18+'0 Úvod'!$J$18-1,-('4 PN vozidel'!O66+'4 PN vozidel'!O67)*'11 KF'!$E$138,0)</f>
        <v>-5335191.1906205453</v>
      </c>
      <c r="Q30" s="1542">
        <f>IF(Q24&lt;='0 Úvod'!$G$18+'0 Úvod'!$J$18-1,-('4 PN vozidel'!P66+'4 PN vozidel'!P67)*'11 KF'!$E$138,0)</f>
        <v>-5335191.1906205453</v>
      </c>
      <c r="R30" s="1542">
        <f>IF(R24&lt;='0 Úvod'!$G$18+'0 Úvod'!$J$18-1,-('4 PN vozidel'!Q66+'4 PN vozidel'!Q67)*'11 KF'!$E$138,0)</f>
        <v>-5335191.1906205453</v>
      </c>
      <c r="S30" s="1542">
        <f>IF(S24&lt;='0 Úvod'!$G$18+'0 Úvod'!$J$18-1,-('4 PN vozidel'!R66+'4 PN vozidel'!R67)*'11 KF'!$E$138,0)</f>
        <v>-5335191.1906205453</v>
      </c>
      <c r="T30" s="1543">
        <f>IF(T24&lt;='0 Úvod'!$G$18+'0 Úvod'!$J$18-1,-('4 PN vozidel'!S66+'4 PN vozidel'!S67)*'11 KF'!$E$138,0)</f>
        <v>-5335191.1906205453</v>
      </c>
      <c r="U30" s="1507"/>
      <c r="V30" s="1507"/>
      <c r="W30" s="1507"/>
      <c r="X30" s="1507"/>
      <c r="Y30" s="1507"/>
      <c r="Z30" s="1507"/>
      <c r="AA30" s="1507"/>
      <c r="AB30" s="1507"/>
      <c r="AC30" s="1507"/>
      <c r="AD30" s="1507"/>
    </row>
    <row r="31" spans="1:45" x14ac:dyDescent="0.3">
      <c r="A31" s="1505"/>
      <c r="B31" s="1398"/>
      <c r="C31" s="1602" t="str">
        <f>C9</f>
        <v>Celkem PN vozidel silnice - úspora</v>
      </c>
      <c r="D31" s="1607"/>
      <c r="E31" s="1608"/>
      <c r="F31" s="1542">
        <f>IF(F24&lt;='0 Úvod'!$G$18+'0 Úvod'!$J$18-1,-('4 PN vozidel'!E68+'4 PN vozidel'!E69),0)</f>
        <v>12697405.952865165</v>
      </c>
      <c r="G31" s="1542">
        <f>IF(G24&lt;='0 Úvod'!$G$18+'0 Úvod'!$J$18-1,-('4 PN vozidel'!F68+'4 PN vozidel'!F69),0)</f>
        <v>12697405.952865165</v>
      </c>
      <c r="H31" s="1542">
        <f>IF(H24&lt;='0 Úvod'!$G$18+'0 Úvod'!$J$18-1,-('4 PN vozidel'!G68+'4 PN vozidel'!G69),0)</f>
        <v>12697405.952865165</v>
      </c>
      <c r="I31" s="1542">
        <f>IF(I24&lt;='0 Úvod'!$G$18+'0 Úvod'!$J$18-1,-('4 PN vozidel'!H68+'4 PN vozidel'!H69),0)</f>
        <v>12697405.952865165</v>
      </c>
      <c r="J31" s="1542">
        <f>IF(J24&lt;='0 Úvod'!$G$18+'0 Úvod'!$J$18-1,-('4 PN vozidel'!I68+'4 PN vozidel'!I69),0)</f>
        <v>12697405.952865165</v>
      </c>
      <c r="K31" s="1542">
        <f>IF(K24&lt;='0 Úvod'!$G$18+'0 Úvod'!$J$18-1,-('4 PN vozidel'!J68+'4 PN vozidel'!J69),0)</f>
        <v>12697405.952865165</v>
      </c>
      <c r="L31" s="1542">
        <f>IF(L24&lt;='0 Úvod'!$G$18+'0 Úvod'!$J$18-1,-('4 PN vozidel'!K68+'4 PN vozidel'!K69),0)</f>
        <v>12697405.952865165</v>
      </c>
      <c r="M31" s="1542">
        <f>IF(M24&lt;='0 Úvod'!$G$18+'0 Úvod'!$J$18-1,-('4 PN vozidel'!L68+'4 PN vozidel'!L69),0)</f>
        <v>12697405.952865165</v>
      </c>
      <c r="N31" s="1542">
        <f>IF(N24&lt;='0 Úvod'!$G$18+'0 Úvod'!$J$18-1,-('4 PN vozidel'!M68+'4 PN vozidel'!M69),0)</f>
        <v>12697405.952865165</v>
      </c>
      <c r="O31" s="1542">
        <f>IF(O24&lt;='0 Úvod'!$G$18+'0 Úvod'!$J$18-1,-('4 PN vozidel'!N68+'4 PN vozidel'!N69),0)</f>
        <v>12697405.952865165</v>
      </c>
      <c r="P31" s="1542">
        <f>IF(P24&lt;='0 Úvod'!$G$18+'0 Úvod'!$J$18-1,-('4 PN vozidel'!O68+'4 PN vozidel'!O69),0)</f>
        <v>12697405.952865165</v>
      </c>
      <c r="Q31" s="1542">
        <f>IF(Q24&lt;='0 Úvod'!$G$18+'0 Úvod'!$J$18-1,-('4 PN vozidel'!P68+'4 PN vozidel'!P69),0)</f>
        <v>12697405.952865165</v>
      </c>
      <c r="R31" s="1542">
        <f>IF(R24&lt;='0 Úvod'!$G$18+'0 Úvod'!$J$18-1,-('4 PN vozidel'!Q68+'4 PN vozidel'!Q69),0)</f>
        <v>12697405.952865165</v>
      </c>
      <c r="S31" s="1542">
        <f>IF(S24&lt;='0 Úvod'!$G$18+'0 Úvod'!$J$18-1,-('4 PN vozidel'!R68+'4 PN vozidel'!R69),0)</f>
        <v>12697405.952865165</v>
      </c>
      <c r="T31" s="1543">
        <f>IF(T24&lt;='0 Úvod'!$G$18+'0 Úvod'!$J$18-1,-('4 PN vozidel'!S68+'4 PN vozidel'!S69),0)</f>
        <v>12697405.952865165</v>
      </c>
      <c r="U31" s="1507"/>
      <c r="V31" s="1507"/>
      <c r="W31" s="1507"/>
      <c r="X31" s="1507"/>
      <c r="Y31" s="1507"/>
      <c r="Z31" s="1507"/>
      <c r="AA31" s="1507"/>
      <c r="AB31" s="1507"/>
      <c r="AC31" s="1507"/>
      <c r="AD31" s="1507"/>
    </row>
    <row r="32" spans="1:45" x14ac:dyDescent="0.3">
      <c r="A32" s="1505"/>
      <c r="B32" s="1398"/>
      <c r="C32" s="1602" t="str">
        <f>C10</f>
        <v>Celkem PN plavidel - úspora</v>
      </c>
      <c r="D32" s="1607"/>
      <c r="E32" s="1608"/>
      <c r="F32" s="1542">
        <f>IF(F24&lt;='0 Úvod'!$G$18+'0 Úvod'!$J$18-1,-('4 PN vozidel'!E70+'4 PN vozidel'!E71)*'11 KF'!$E$143,0)</f>
        <v>0</v>
      </c>
      <c r="G32" s="1542">
        <f>IF(G24&lt;='0 Úvod'!$G$18+'0 Úvod'!$J$18-1,-('4 PN vozidel'!F70+'4 PN vozidel'!F71)*'11 KF'!$E$143,0)</f>
        <v>0</v>
      </c>
      <c r="H32" s="1542">
        <f>IF(H24&lt;='0 Úvod'!$G$18+'0 Úvod'!$J$18-1,-('4 PN vozidel'!G70+'4 PN vozidel'!G71)*'11 KF'!$E$143,0)</f>
        <v>0</v>
      </c>
      <c r="I32" s="1542">
        <f>IF(I24&lt;='0 Úvod'!$G$18+'0 Úvod'!$J$18-1,-('4 PN vozidel'!H70+'4 PN vozidel'!H71)*'11 KF'!$E$143,0)</f>
        <v>0</v>
      </c>
      <c r="J32" s="1542">
        <f>IF(J24&lt;='0 Úvod'!$G$18+'0 Úvod'!$J$18-1,-('4 PN vozidel'!I70+'4 PN vozidel'!I71)*'11 KF'!$E$143,0)</f>
        <v>0</v>
      </c>
      <c r="K32" s="1542">
        <f>IF(K24&lt;='0 Úvod'!$G$18+'0 Úvod'!$J$18-1,-('4 PN vozidel'!J70+'4 PN vozidel'!J71)*'11 KF'!$E$143,0)</f>
        <v>0</v>
      </c>
      <c r="L32" s="1542">
        <f>IF(L24&lt;='0 Úvod'!$G$18+'0 Úvod'!$J$18-1,-('4 PN vozidel'!K70+'4 PN vozidel'!K71)*'11 KF'!$E$143,0)</f>
        <v>0</v>
      </c>
      <c r="M32" s="1542">
        <f>IF(M24&lt;='0 Úvod'!$G$18+'0 Úvod'!$J$18-1,-('4 PN vozidel'!L70+'4 PN vozidel'!L71)*'11 KF'!$E$143,0)</f>
        <v>0</v>
      </c>
      <c r="N32" s="1542">
        <f>IF(N24&lt;='0 Úvod'!$G$18+'0 Úvod'!$J$18-1,-('4 PN vozidel'!M70+'4 PN vozidel'!M71)*'11 KF'!$E$143,0)</f>
        <v>0</v>
      </c>
      <c r="O32" s="1542">
        <f>IF(O24&lt;='0 Úvod'!$G$18+'0 Úvod'!$J$18-1,-('4 PN vozidel'!N70+'4 PN vozidel'!N71)*'11 KF'!$E$143,0)</f>
        <v>0</v>
      </c>
      <c r="P32" s="1542">
        <f>IF(P24&lt;='0 Úvod'!$G$18+'0 Úvod'!$J$18-1,-('4 PN vozidel'!O70+'4 PN vozidel'!O71)*'11 KF'!$E$143,0)</f>
        <v>0</v>
      </c>
      <c r="Q32" s="1542">
        <f>IF(Q24&lt;='0 Úvod'!$G$18+'0 Úvod'!$J$18-1,-('4 PN vozidel'!P70+'4 PN vozidel'!P71)*'11 KF'!$E$143,0)</f>
        <v>0</v>
      </c>
      <c r="R32" s="1542">
        <f>IF(R24&lt;='0 Úvod'!$G$18+'0 Úvod'!$J$18-1,-('4 PN vozidel'!Q70+'4 PN vozidel'!Q71)*'11 KF'!$E$143,0)</f>
        <v>0</v>
      </c>
      <c r="S32" s="1542">
        <f>IF(S24&lt;='0 Úvod'!$G$18+'0 Úvod'!$J$18-1,-('4 PN vozidel'!R70+'4 PN vozidel'!R71)*'11 KF'!$E$143,0)</f>
        <v>0</v>
      </c>
      <c r="T32" s="1543">
        <f>IF(T24&lt;='0 Úvod'!$G$18+'0 Úvod'!$J$18-1,-('4 PN vozidel'!S70+'4 PN vozidel'!S71)*'11 KF'!$E$143,0)</f>
        <v>0</v>
      </c>
      <c r="U32" s="1507"/>
      <c r="V32" s="1507"/>
      <c r="W32" s="1507"/>
      <c r="X32" s="1507"/>
      <c r="Y32" s="1507"/>
      <c r="Z32" s="1507"/>
      <c r="AA32" s="1507"/>
      <c r="AB32" s="1507"/>
      <c r="AC32" s="1507"/>
      <c r="AD32" s="1507"/>
    </row>
    <row r="33" spans="1:30" x14ac:dyDescent="0.3">
      <c r="A33" s="1505"/>
      <c r="B33" s="1398"/>
      <c r="C33" s="1602" t="str">
        <f>IF('0 Úvod'!$M$10="English",Slovnik!D736,Slovnik!C736)</f>
        <v>Celkem PN vozidel MHD (vč. městský BUS) - úspora</v>
      </c>
      <c r="D33" s="1607"/>
      <c r="E33" s="1608"/>
      <c r="F33" s="1542">
        <f>IF(F24&lt;='0 Úvod'!$G$18+'0 Úvod'!$J$18-1,-('4 PN vozidel'!E72+'4 PN vozidel'!E73)*'11 KF'!$E$138,0)</f>
        <v>0</v>
      </c>
      <c r="G33" s="1542">
        <f>IF(G24&lt;='0 Úvod'!$G$18+'0 Úvod'!$J$18-1,-('4 PN vozidel'!F72+'4 PN vozidel'!F73)*'11 KF'!$E$138,0)</f>
        <v>0</v>
      </c>
      <c r="H33" s="1542">
        <f>IF(H24&lt;='0 Úvod'!$G$18+'0 Úvod'!$J$18-1,-('4 PN vozidel'!G72+'4 PN vozidel'!G73)*'11 KF'!$E$138,0)</f>
        <v>0</v>
      </c>
      <c r="I33" s="1542">
        <f>IF(I24&lt;='0 Úvod'!$G$18+'0 Úvod'!$J$18-1,-('4 PN vozidel'!H72+'4 PN vozidel'!H73)*'11 KF'!$E$138,0)</f>
        <v>0</v>
      </c>
      <c r="J33" s="1542">
        <f>IF(J24&lt;='0 Úvod'!$G$18+'0 Úvod'!$J$18-1,-('4 PN vozidel'!I72+'4 PN vozidel'!I73)*'11 KF'!$E$138,0)</f>
        <v>0</v>
      </c>
      <c r="K33" s="1542">
        <f>IF(K24&lt;='0 Úvod'!$G$18+'0 Úvod'!$J$18-1,-('4 PN vozidel'!J72+'4 PN vozidel'!J73)*'11 KF'!$E$138,0)</f>
        <v>0</v>
      </c>
      <c r="L33" s="1542">
        <f>IF(L24&lt;='0 Úvod'!$G$18+'0 Úvod'!$J$18-1,-('4 PN vozidel'!K72+'4 PN vozidel'!K73)*'11 KF'!$E$138,0)</f>
        <v>0</v>
      </c>
      <c r="M33" s="1542">
        <f>IF(M24&lt;='0 Úvod'!$G$18+'0 Úvod'!$J$18-1,-('4 PN vozidel'!L72+'4 PN vozidel'!L73)*'11 KF'!$E$138,0)</f>
        <v>0</v>
      </c>
      <c r="N33" s="1542">
        <f>IF(N24&lt;='0 Úvod'!$G$18+'0 Úvod'!$J$18-1,-('4 PN vozidel'!M72+'4 PN vozidel'!M73)*'11 KF'!$E$138,0)</f>
        <v>0</v>
      </c>
      <c r="O33" s="1542">
        <f>IF(O24&lt;='0 Úvod'!$G$18+'0 Úvod'!$J$18-1,-('4 PN vozidel'!N72+'4 PN vozidel'!N73)*'11 KF'!$E$138,0)</f>
        <v>0</v>
      </c>
      <c r="P33" s="1542">
        <f>IF(P24&lt;='0 Úvod'!$G$18+'0 Úvod'!$J$18-1,-('4 PN vozidel'!O72+'4 PN vozidel'!O73)*'11 KF'!$E$138,0)</f>
        <v>0</v>
      </c>
      <c r="Q33" s="1542">
        <f>IF(Q24&lt;='0 Úvod'!$G$18+'0 Úvod'!$J$18-1,-('4 PN vozidel'!P72+'4 PN vozidel'!P73)*'11 KF'!$E$138,0)</f>
        <v>0</v>
      </c>
      <c r="R33" s="1542">
        <f>IF(R24&lt;='0 Úvod'!$G$18+'0 Úvod'!$J$18-1,-('4 PN vozidel'!Q72+'4 PN vozidel'!Q73)*'11 KF'!$E$138,0)</f>
        <v>0</v>
      </c>
      <c r="S33" s="1542">
        <f>IF(S24&lt;='0 Úvod'!$G$18+'0 Úvod'!$J$18-1,-('4 PN vozidel'!R72+'4 PN vozidel'!R73)*'11 KF'!$E$138,0)</f>
        <v>0</v>
      </c>
      <c r="T33" s="1543">
        <f>IF(T24&lt;='0 Úvod'!$G$18+'0 Úvod'!$J$18-1,-('4 PN vozidel'!S72+'4 PN vozidel'!S73)*'11 KF'!$E$138,0)</f>
        <v>0</v>
      </c>
      <c r="U33" s="1507"/>
      <c r="V33" s="1507"/>
      <c r="W33" s="1507"/>
      <c r="X33" s="1507"/>
      <c r="Y33" s="1507"/>
      <c r="Z33" s="1507"/>
      <c r="AA33" s="1507"/>
      <c r="AB33" s="1507"/>
      <c r="AC33" s="1507"/>
      <c r="AD33" s="1507"/>
    </row>
    <row r="34" spans="1:30" x14ac:dyDescent="0.3">
      <c r="A34" s="1505"/>
      <c r="B34" s="1398"/>
      <c r="C34" s="1609" t="str">
        <f t="shared" ref="C34:C44" si="8">C12</f>
        <v>Celkem úspory z cestovních dob</v>
      </c>
      <c r="D34" s="1607"/>
      <c r="E34" s="1608"/>
      <c r="F34" s="1542">
        <f>IF(F24&lt;='0 Úvod'!$G$18+'0 Úvod'!$J$18-1,'5 Úspory času'!E69,0)</f>
        <v>17714025.330467973</v>
      </c>
      <c r="G34" s="1542">
        <f>IF(G24&lt;='0 Úvod'!$G$18+'0 Úvod'!$J$18-1,'5 Úspory času'!F69,0)</f>
        <v>17993251.612381209</v>
      </c>
      <c r="H34" s="1542">
        <f>IF(H24&lt;='0 Úvod'!$G$18+'0 Úvod'!$J$18-1,'5 Úspory času'!G69,0)</f>
        <v>18276896.218278233</v>
      </c>
      <c r="I34" s="1542">
        <f>IF(I24&lt;='0 Úvod'!$G$18+'0 Úvod'!$J$18-1,'5 Úspory času'!H69,0)</f>
        <v>18565029.349123865</v>
      </c>
      <c r="J34" s="1542">
        <f>IF(J24&lt;='0 Úvod'!$G$18+'0 Úvod'!$J$18-1,'5 Úspory času'!I69,0)</f>
        <v>18857722.326167047</v>
      </c>
      <c r="K34" s="1542">
        <f>IF(K24&lt;='0 Úvod'!$G$18+'0 Úvod'!$J$18-1,'5 Úspory času'!J69,0)</f>
        <v>19147382.661363602</v>
      </c>
      <c r="L34" s="1542">
        <f>IF(L24&lt;='0 Úvod'!$G$18+'0 Úvod'!$J$18-1,'5 Úspory času'!K69,0)</f>
        <v>19441510.316437297</v>
      </c>
      <c r="M34" s="1542">
        <f>IF(M24&lt;='0 Úvod'!$G$18+'0 Úvod'!$J$18-1,'5 Úspory času'!L69,0)</f>
        <v>19740174.489482481</v>
      </c>
      <c r="N34" s="1542">
        <f>IF(N24&lt;='0 Úvod'!$G$18+'0 Úvod'!$J$18-1,'5 Úspory času'!M69,0)</f>
        <v>20043445.455438755</v>
      </c>
      <c r="O34" s="1542">
        <f>IF(O24&lt;='0 Úvod'!$G$18+'0 Úvod'!$J$18-1,'5 Úspory času'!N69,0)</f>
        <v>20351394.582930654</v>
      </c>
      <c r="P34" s="1542">
        <f>IF(P24&lt;='0 Úvod'!$G$18+'0 Úvod'!$J$18-1,'5 Úspory času'!O69,0)</f>
        <v>20663339.714785881</v>
      </c>
      <c r="Q34" s="1542">
        <f>IF(Q24&lt;='0 Úvod'!$G$18+'0 Úvod'!$J$18-1,'5 Úspory času'!P69,0)</f>
        <v>20980085.931691475</v>
      </c>
      <c r="R34" s="1542">
        <f>IF(R24&lt;='0 Úvod'!$G$18+'0 Úvod'!$J$18-1,'5 Úspory času'!Q69,0)</f>
        <v>21301707.451599143</v>
      </c>
      <c r="S34" s="1542">
        <f>IF(S24&lt;='0 Úvod'!$G$18+'0 Úvod'!$J$18-1,'5 Úspory času'!R69,0)</f>
        <v>21628279.645143665</v>
      </c>
      <c r="T34" s="1543">
        <f>IF(T24&lt;='0 Úvod'!$G$18+'0 Úvod'!$J$18-1,'5 Úspory času'!S69,0)</f>
        <v>21959879.053633802</v>
      </c>
      <c r="U34" s="1507"/>
      <c r="V34" s="1507"/>
      <c r="W34" s="1507"/>
      <c r="X34" s="1507"/>
      <c r="Y34" s="1507"/>
      <c r="Z34" s="1507"/>
      <c r="AA34" s="1507"/>
      <c r="AB34" s="1507"/>
      <c r="AC34" s="1507"/>
      <c r="AD34" s="1507"/>
    </row>
    <row r="35" spans="1:30" x14ac:dyDescent="0.3">
      <c r="A35" s="1505"/>
      <c r="B35" s="1398"/>
      <c r="C35" s="1609" t="str">
        <f t="shared" si="8"/>
        <v>Celkem externality</v>
      </c>
      <c r="D35" s="1607"/>
      <c r="E35" s="1608"/>
      <c r="F35" s="1542">
        <f>IF(F24&lt;='0 Úvod'!$G$18+'0 Úvod'!$J$18-1,'6 Externality'!E162,0)</f>
        <v>5212294.0804373985</v>
      </c>
      <c r="G35" s="1542">
        <f>IF(G24&lt;='0 Úvod'!$G$18+'0 Úvod'!$J$18-1,'6 Externality'!F162,0)</f>
        <v>5298401.1786462255</v>
      </c>
      <c r="H35" s="1542">
        <f>IF(H24&lt;='0 Úvod'!$G$18+'0 Úvod'!$J$18-1,'6 Externality'!G162,0)</f>
        <v>5385930.766117462</v>
      </c>
      <c r="I35" s="1542">
        <f>IF(I24&lt;='0 Úvod'!$G$18+'0 Úvod'!$J$18-1,'6 Externality'!H162,0)</f>
        <v>5474906.3423737213</v>
      </c>
      <c r="J35" s="1542">
        <f>IF(J24&lt;='0 Úvod'!$G$18+'0 Úvod'!$J$18-1,'6 Externality'!I162,0)</f>
        <v>5565351.795149737</v>
      </c>
      <c r="K35" s="1542">
        <f>IF(K24&lt;='0 Úvod'!$G$18+'0 Úvod'!$J$18-1,'6 Externality'!J162,0)</f>
        <v>5657291.4068056094</v>
      </c>
      <c r="L35" s="1542">
        <f>IF(L24&lt;='0 Úvod'!$G$18+'0 Úvod'!$J$18-1,'6 Externality'!K162,0)</f>
        <v>5750749.8608460398</v>
      </c>
      <c r="M35" s="1542">
        <f>IF(M24&lt;='0 Úvod'!$G$18+'0 Úvod'!$J$18-1,'6 Externality'!L162,0)</f>
        <v>5845752.248547215</v>
      </c>
      <c r="N35" s="1542">
        <f>IF(N24&lt;='0 Úvod'!$G$18+'0 Úvod'!$J$18-1,'6 Externality'!M162,0)</f>
        <v>5942324.0756932171</v>
      </c>
      <c r="O35" s="1542">
        <f>IF(O24&lt;='0 Úvod'!$G$18+'0 Úvod'!$J$18-1,'6 Externality'!N162,0)</f>
        <v>6040491.2694236692</v>
      </c>
      <c r="P35" s="1542">
        <f>IF(P24&lt;='0 Úvod'!$G$18+'0 Úvod'!$J$18-1,'6 Externality'!O162,0)</f>
        <v>6140280.1851945492</v>
      </c>
      <c r="Q35" s="1542">
        <f>IF(Q24&lt;='0 Úvod'!$G$18+'0 Úvod'!$J$18-1,'6 Externality'!P162,0)</f>
        <v>6241717.6138539631</v>
      </c>
      <c r="R35" s="1542">
        <f>IF(R24&lt;='0 Úvod'!$G$18+'0 Úvod'!$J$18-1,'6 Externality'!Q162,0)</f>
        <v>6344830.7888348326</v>
      </c>
      <c r="S35" s="1542">
        <f>IF(S24&lt;='0 Úvod'!$G$18+'0 Úvod'!$J$18-1,'6 Externality'!R162,0)</f>
        <v>6449647.3934663842</v>
      </c>
      <c r="T35" s="1543">
        <f>IF(T24&lt;='0 Úvod'!$G$18+'0 Úvod'!$J$18-1,'6 Externality'!S162,0)</f>
        <v>6556195.5684064506</v>
      </c>
      <c r="U35" s="1507"/>
      <c r="V35" s="1507"/>
      <c r="W35" s="1507"/>
      <c r="X35" s="1507"/>
      <c r="Y35" s="1507"/>
      <c r="Z35" s="1507"/>
      <c r="AA35" s="1507"/>
      <c r="AB35" s="1507"/>
      <c r="AC35" s="1507"/>
      <c r="AD35" s="1507"/>
    </row>
    <row r="36" spans="1:30" x14ac:dyDescent="0.3">
      <c r="A36" s="1505"/>
      <c r="B36" s="1398"/>
      <c r="C36" s="1609" t="str">
        <f t="shared" si="8"/>
        <v>Celkem přínosy osobní rekreační plavby</v>
      </c>
      <c r="D36" s="1607"/>
      <c r="E36" s="1608"/>
      <c r="F36" s="1542">
        <f>IF(F2&lt;='0 Úvod'!$G$18+'0 Úvod'!$J$18-1,'7 Osobní a rekreační plavba'!E54,0)</f>
        <v>0</v>
      </c>
      <c r="G36" s="1542">
        <f>IF(G2&lt;='0 Úvod'!$G$18+'0 Úvod'!$J$18-1,'7 Osobní a rekreační plavba'!F54,0)</f>
        <v>0</v>
      </c>
      <c r="H36" s="1542">
        <f>IF(H2&lt;='0 Úvod'!$G$18+'0 Úvod'!$J$18-1,'7 Osobní a rekreační plavba'!G54,0)</f>
        <v>0</v>
      </c>
      <c r="I36" s="1542">
        <f>IF(I2&lt;='0 Úvod'!$G$18+'0 Úvod'!$J$18-1,'7 Osobní a rekreační plavba'!H54,0)</f>
        <v>0</v>
      </c>
      <c r="J36" s="1542">
        <f>IF(J2&lt;='0 Úvod'!$G$18+'0 Úvod'!$J$18-1,'7 Osobní a rekreační plavba'!I54,0)</f>
        <v>0</v>
      </c>
      <c r="K36" s="1542">
        <f>IF(K2&lt;='0 Úvod'!$G$18+'0 Úvod'!$J$18-1,'7 Osobní a rekreační plavba'!J54,0)</f>
        <v>0</v>
      </c>
      <c r="L36" s="1542">
        <f>IF(L2&lt;='0 Úvod'!$G$18+'0 Úvod'!$J$18-1,'7 Osobní a rekreační plavba'!K54,0)</f>
        <v>0</v>
      </c>
      <c r="M36" s="1542">
        <f>IF(M2&lt;='0 Úvod'!$G$18+'0 Úvod'!$J$18-1,'7 Osobní a rekreační plavba'!L54,0)</f>
        <v>0</v>
      </c>
      <c r="N36" s="1542">
        <f>IF(N2&lt;='0 Úvod'!$G$18+'0 Úvod'!$J$18-1,'7 Osobní a rekreační plavba'!M54,0)</f>
        <v>0</v>
      </c>
      <c r="O36" s="1542">
        <f>IF(O2&lt;='0 Úvod'!$G$18+'0 Úvod'!$J$18-1,'7 Osobní a rekreační plavba'!N54,0)</f>
        <v>0</v>
      </c>
      <c r="P36" s="1542">
        <f>IF(P2&lt;='0 Úvod'!$G$18+'0 Úvod'!$J$18-1,'7 Osobní a rekreační plavba'!O54,0)</f>
        <v>0</v>
      </c>
      <c r="Q36" s="1542">
        <f>IF(Q2&lt;='0 Úvod'!$G$18+'0 Úvod'!$J$18-1,'7 Osobní a rekreační plavba'!P54,0)</f>
        <v>0</v>
      </c>
      <c r="R36" s="1542">
        <f>IF(R2&lt;='0 Úvod'!$G$18+'0 Úvod'!$J$18-1,'7 Osobní a rekreační plavba'!Q54,0)</f>
        <v>0</v>
      </c>
      <c r="S36" s="1542">
        <f>IF(S2&lt;='0 Úvod'!$G$18+'0 Úvod'!$J$18-1,'7 Osobní a rekreační plavba'!R54,0)</f>
        <v>0</v>
      </c>
      <c r="T36" s="1543">
        <f>IF(T2&lt;='0 Úvod'!$G$18+'0 Úvod'!$J$18-1,'7 Osobní a rekreační plavba'!S54,0)</f>
        <v>0</v>
      </c>
      <c r="U36" s="1507"/>
      <c r="V36" s="1507"/>
      <c r="W36" s="1507"/>
      <c r="X36" s="1507"/>
      <c r="Y36" s="1507"/>
      <c r="Z36" s="1507"/>
      <c r="AA36" s="1507"/>
      <c r="AB36" s="1507"/>
      <c r="AC36" s="1507"/>
      <c r="AD36" s="1507"/>
    </row>
    <row r="37" spans="1:30" x14ac:dyDescent="0.3">
      <c r="A37" s="1505"/>
      <c r="B37" s="1398"/>
      <c r="C37" s="1490" t="str">
        <f t="shared" si="8"/>
        <v>Ostatní přínosy</v>
      </c>
      <c r="D37" s="1607"/>
      <c r="E37" s="1610"/>
      <c r="F37" s="1510"/>
      <c r="G37" s="1510"/>
      <c r="H37" s="1510"/>
      <c r="I37" s="1510"/>
      <c r="J37" s="1510"/>
      <c r="K37" s="1510"/>
      <c r="L37" s="1510"/>
      <c r="M37" s="1510"/>
      <c r="N37" s="1510"/>
      <c r="O37" s="1510"/>
      <c r="P37" s="1510"/>
      <c r="Q37" s="1510"/>
      <c r="R37" s="1510"/>
      <c r="S37" s="1510"/>
      <c r="T37" s="1510"/>
      <c r="U37" s="2144"/>
      <c r="V37" s="1507"/>
      <c r="W37" s="1507"/>
      <c r="X37" s="1507"/>
      <c r="Y37" s="1507"/>
      <c r="Z37" s="1507"/>
      <c r="AA37" s="1507"/>
      <c r="AB37" s="1507"/>
      <c r="AC37" s="1507"/>
      <c r="AD37" s="1507"/>
    </row>
    <row r="38" spans="1:30" x14ac:dyDescent="0.3">
      <c r="B38" s="1578"/>
      <c r="C38" s="1491" t="str">
        <f t="shared" si="8"/>
        <v>Celkové příjmy</v>
      </c>
      <c r="D38" s="1499"/>
      <c r="E38" s="1584"/>
      <c r="F38" s="1525">
        <f t="shared" ref="F38:T38" si="9">SUM(F26:F37)</f>
        <v>31165325.688173041</v>
      </c>
      <c r="G38" s="1499">
        <f t="shared" si="9"/>
        <v>31531948.698417369</v>
      </c>
      <c r="H38" s="1499">
        <f t="shared" si="9"/>
        <v>31904418.970058501</v>
      </c>
      <c r="I38" s="1499">
        <f t="shared" si="9"/>
        <v>32282830.235824637</v>
      </c>
      <c r="J38" s="1499">
        <f t="shared" si="9"/>
        <v>32667277.737101395</v>
      </c>
      <c r="K38" s="1499">
        <f t="shared" si="9"/>
        <v>33050193.300768673</v>
      </c>
      <c r="L38" s="1499">
        <f t="shared" si="9"/>
        <v>33439101.604781721</v>
      </c>
      <c r="M38" s="1499">
        <f t="shared" si="9"/>
        <v>27555304.421377767</v>
      </c>
      <c r="N38" s="1499">
        <f t="shared" si="9"/>
        <v>34235275.214406565</v>
      </c>
      <c r="O38" s="1499">
        <f t="shared" si="9"/>
        <v>34642733.662781216</v>
      </c>
      <c r="P38" s="1499">
        <f t="shared" si="9"/>
        <v>35055816.548195384</v>
      </c>
      <c r="Q38" s="1499">
        <f t="shared" si="9"/>
        <v>35475355.77573739</v>
      </c>
      <c r="R38" s="1499">
        <f t="shared" si="9"/>
        <v>-64406973.664969452</v>
      </c>
      <c r="S38" s="1499">
        <f t="shared" si="9"/>
        <v>36334210.800375208</v>
      </c>
      <c r="T38" s="1526">
        <f t="shared" si="9"/>
        <v>-81661112.320704386</v>
      </c>
      <c r="U38" s="958"/>
      <c r="V38" s="958"/>
      <c r="W38" s="958"/>
      <c r="X38" s="958"/>
      <c r="Y38" s="958"/>
      <c r="Z38" s="958"/>
      <c r="AA38" s="958"/>
      <c r="AB38" s="958"/>
      <c r="AC38" s="958"/>
      <c r="AD38" s="958"/>
    </row>
    <row r="39" spans="1:30" x14ac:dyDescent="0.3">
      <c r="A39" s="1505"/>
      <c r="B39" s="1406"/>
      <c r="C39" s="1609" t="str">
        <f t="shared" si="8"/>
        <v>Celkem investiční náklady bez rezervy</v>
      </c>
      <c r="D39" s="1611"/>
      <c r="E39" s="1612"/>
      <c r="F39" s="1619">
        <f>'1 CIN'!G26*IF($T$47="ŽELEZNIČNÍ",'11 KF'!$E$132,IF($T$47="SILNIČNÍ",'11 KF'!$E$133,IF($T$47="VODNÍ",'11 KF'!$E$134,AVERAGE('11 KF'!$E$132,'11 KF'!$E$133))))</f>
        <v>0</v>
      </c>
      <c r="G39" s="1542">
        <f>'1 CIN'!H26*IF($T$47="ŽELEZNIČNÍ",'11 KF'!$E$132,IF($T$47="SILNIČNÍ",'11 KF'!$E$133,IF($T$47="VODNÍ",'11 KF'!$E$134,AVERAGE('11 KF'!$E$132,'11 KF'!$E$133))))</f>
        <v>0</v>
      </c>
      <c r="H39" s="1542">
        <f>'1 CIN'!I26*IF($T$47="ŽELEZNIČNÍ",'11 KF'!$E$132,IF($T$47="SILNIČNÍ",'11 KF'!$E$133,IF($T$47="VODNÍ",'11 KF'!$E$134,AVERAGE('11 KF'!$E$132,'11 KF'!$E$133))))</f>
        <v>0</v>
      </c>
      <c r="I39" s="1542">
        <f>'1 CIN'!J26*IF($T$47="ŽELEZNIČNÍ",'11 KF'!$E$132,IF($T$47="SILNIČNÍ",'11 KF'!$E$133,IF($T$47="VODNÍ",'11 KF'!$E$134,AVERAGE('11 KF'!$E$132,'11 KF'!$E$133))))</f>
        <v>0</v>
      </c>
      <c r="J39" s="1542">
        <f>'1 CIN'!K26*IF($T$47="ŽELEZNIČNÍ",'11 KF'!$E$132,IF($T$47="SILNIČNÍ",'11 KF'!$E$133,IF($T$47="VODNÍ",'11 KF'!$E$134,AVERAGE('11 KF'!$E$132,'11 KF'!$E$133))))</f>
        <v>0</v>
      </c>
      <c r="K39" s="1542">
        <f>'1 CIN'!L26*IF($T$47="ŽELEZNIČNÍ",'11 KF'!$E$132,IF($T$47="SILNIČNÍ",'11 KF'!$E$133,IF($T$47="VODNÍ",'11 KF'!$E$134,AVERAGE('11 KF'!$E$132,'11 KF'!$E$133))))</f>
        <v>0</v>
      </c>
      <c r="L39" s="1542">
        <f>'1 CIN'!M26*IF($T$47="ŽELEZNIČNÍ",'11 KF'!$E$132,IF($T$47="SILNIČNÍ",'11 KF'!$E$133,IF($T$47="VODNÍ",'11 KF'!$E$134,AVERAGE('11 KF'!$E$132,'11 KF'!$E$133))))</f>
        <v>0</v>
      </c>
      <c r="M39" s="1542">
        <f>'1 CIN'!N26*IF($T$47="ŽELEZNIČNÍ",'11 KF'!$E$132,IF($T$47="SILNIČNÍ",'11 KF'!$E$133,IF($T$47="VODNÍ",'11 KF'!$E$134,AVERAGE('11 KF'!$E$132,'11 KF'!$E$133))))</f>
        <v>0</v>
      </c>
      <c r="N39" s="1542">
        <f>'1 CIN'!O26*IF($T$47="ŽELEZNIČNÍ",'11 KF'!$E$132,IF($T$47="SILNIČNÍ",'11 KF'!$E$133,IF($T$47="VODNÍ",'11 KF'!$E$134,AVERAGE('11 KF'!$E$132,'11 KF'!$E$133))))</f>
        <v>0</v>
      </c>
      <c r="O39" s="1542">
        <f>'1 CIN'!P26*IF($T$47="ŽELEZNIČNÍ",'11 KF'!$E$132,IF($T$47="SILNIČNÍ",'11 KF'!$E$133,IF($T$47="VODNÍ",'11 KF'!$E$134,AVERAGE('11 KF'!$E$132,'11 KF'!$E$133))))</f>
        <v>0</v>
      </c>
      <c r="P39" s="1542">
        <f>'1 CIN'!Q26*IF($T$47="ŽELEZNIČNÍ",'11 KF'!$E$132,IF($T$47="SILNIČNÍ",'11 KF'!$E$133,IF($T$47="VODNÍ",'11 KF'!$E$134,AVERAGE('11 KF'!$E$132,'11 KF'!$E$133))))</f>
        <v>0</v>
      </c>
      <c r="Q39" s="1542">
        <f>'1 CIN'!R26*IF($T$47="ŽELEZNIČNÍ",'11 KF'!$E$132,IF($T$47="SILNIČNÍ",'11 KF'!$E$133,IF($T$47="VODNÍ",'11 KF'!$E$134,AVERAGE('11 KF'!$E$132,'11 KF'!$E$133))))</f>
        <v>0</v>
      </c>
      <c r="R39" s="1542">
        <f>'1 CIN'!S26*IF($T$47="ŽELEZNIČNÍ",'11 KF'!$E$132,IF($T$47="SILNIČNÍ",'11 KF'!$E$133,IF($T$47="VODNÍ",'11 KF'!$E$134,AVERAGE('11 KF'!$E$132,'11 KF'!$E$133))))</f>
        <v>0</v>
      </c>
      <c r="S39" s="1542">
        <f>'1 CIN'!T26*IF($T$47="ŽELEZNIČNÍ",'11 KF'!$E$132,IF($T$47="SILNIČNÍ",'11 KF'!$E$133,IF($T$47="VODNÍ",'11 KF'!$E$134,AVERAGE('11 KF'!$E$132,'11 KF'!$E$133))))</f>
        <v>0</v>
      </c>
      <c r="T39" s="1543">
        <f>'1 CIN'!U26*IF($T$47="ŽELEZNIČNÍ",'11 KF'!$E$132,IF($T$47="SILNIČNÍ",'11 KF'!$E$133,IF($T$47="VODNÍ",'11 KF'!$E$134,AVERAGE('11 KF'!$E$132,'11 KF'!$E$133))))</f>
        <v>0</v>
      </c>
      <c r="U39" s="1507"/>
      <c r="V39" s="1507"/>
      <c r="W39" s="1507"/>
      <c r="X39" s="1507"/>
      <c r="Y39" s="1507"/>
      <c r="Z39" s="1507"/>
      <c r="AA39" s="1507"/>
      <c r="AB39" s="1507"/>
      <c r="AC39" s="1507"/>
      <c r="AD39" s="1507"/>
    </row>
    <row r="40" spans="1:30" x14ac:dyDescent="0.3">
      <c r="A40" s="1505"/>
      <c r="B40" s="1406"/>
      <c r="C40" s="1609" t="str">
        <f t="shared" si="8"/>
        <v>Zůstatková hodnota (záporná)</v>
      </c>
      <c r="D40" s="1611"/>
      <c r="E40" s="1612"/>
      <c r="F40" s="1619">
        <f>IF(F24='0 Úvod'!$G$18+'0 Úvod'!$J$18-1,-1*'2 ZH'!$I$48,0)</f>
        <v>0</v>
      </c>
      <c r="G40" s="1542">
        <f>IF(G24='0 Úvod'!$G$18+'0 Úvod'!$J$18-1,-1*'2 ZH'!$I$48,0)</f>
        <v>0</v>
      </c>
      <c r="H40" s="1542">
        <f>IF(H24='0 Úvod'!$G$18+'0 Úvod'!$J$18-1,-1*'2 ZH'!$I$48,0)</f>
        <v>0</v>
      </c>
      <c r="I40" s="1542">
        <f>IF(I24='0 Úvod'!$G$18+'0 Úvod'!$J$18-1,-1*'2 ZH'!$I$48,0)</f>
        <v>0</v>
      </c>
      <c r="J40" s="1542">
        <f>IF(J24='0 Úvod'!$G$18+'0 Úvod'!$J$18-1,-1*'2 ZH'!$I$48,0)</f>
        <v>0</v>
      </c>
      <c r="K40" s="1542">
        <f>IF(K24='0 Úvod'!$G$18+'0 Úvod'!$J$18-1,-1*'2 ZH'!$I$48,0)</f>
        <v>0</v>
      </c>
      <c r="L40" s="1542">
        <f>IF(L24='0 Úvod'!$G$18+'0 Úvod'!$J$18-1,-1*'2 ZH'!$I$48,0)</f>
        <v>0</v>
      </c>
      <c r="M40" s="1542">
        <f>IF(M24='0 Úvod'!$G$18+'0 Úvod'!$J$18-1,-1*'2 ZH'!$I$48,0)</f>
        <v>0</v>
      </c>
      <c r="N40" s="1542">
        <f>IF(N24='0 Úvod'!$G$18+'0 Úvod'!$J$18-1,-1*'2 ZH'!$I$48,0)</f>
        <v>0</v>
      </c>
      <c r="O40" s="1542">
        <f>IF(O24='0 Úvod'!$G$18+'0 Úvod'!$J$18-1,-1*'2 ZH'!$I$48,0)</f>
        <v>0</v>
      </c>
      <c r="P40" s="1542">
        <f>IF(P24='0 Úvod'!$G$18+'0 Úvod'!$J$18-1,-1*'2 ZH'!$I$48,0)</f>
        <v>0</v>
      </c>
      <c r="Q40" s="1542">
        <f>IF(Q24='0 Úvod'!$G$18+'0 Úvod'!$J$18-1,-1*'2 ZH'!$I$48,0)</f>
        <v>0</v>
      </c>
      <c r="R40" s="1542">
        <f>IF(R24='0 Úvod'!$G$18+'0 Úvod'!$J$18-1,-1*'2 ZH'!$I$48,0)</f>
        <v>0</v>
      </c>
      <c r="S40" s="1542">
        <f>IF(S24='0 Úvod'!$G$18+'0 Úvod'!$J$18-1,-1*'2 ZH'!$I$48,0)</f>
        <v>0</v>
      </c>
      <c r="T40" s="1543">
        <f>IF(T24='0 Úvod'!$G$18+'0 Úvod'!$J$18-1,-1*'2 ZH'!$I$48,0)</f>
        <v>-265271208.96781883</v>
      </c>
      <c r="U40" s="1507"/>
      <c r="V40" s="1507"/>
      <c r="W40" s="1507"/>
      <c r="X40" s="1507"/>
      <c r="Y40" s="1507"/>
      <c r="Z40" s="1507"/>
      <c r="AA40" s="1507"/>
      <c r="AB40" s="1507"/>
      <c r="AC40" s="1507"/>
      <c r="AD40" s="1507"/>
    </row>
    <row r="41" spans="1:30" x14ac:dyDescent="0.3">
      <c r="B41" s="1578"/>
      <c r="C41" s="1498" t="str">
        <f t="shared" si="8"/>
        <v>Celkové náklady</v>
      </c>
      <c r="D41" s="1499"/>
      <c r="E41" s="1584"/>
      <c r="F41" s="1525">
        <f t="shared" ref="F41:T41" si="10">SUM(F39:F40)</f>
        <v>0</v>
      </c>
      <c r="G41" s="1499">
        <f t="shared" si="10"/>
        <v>0</v>
      </c>
      <c r="H41" s="1499">
        <f t="shared" si="10"/>
        <v>0</v>
      </c>
      <c r="I41" s="1499">
        <f t="shared" si="10"/>
        <v>0</v>
      </c>
      <c r="J41" s="1499">
        <f t="shared" si="10"/>
        <v>0</v>
      </c>
      <c r="K41" s="1499">
        <f t="shared" si="10"/>
        <v>0</v>
      </c>
      <c r="L41" s="1499">
        <f t="shared" si="10"/>
        <v>0</v>
      </c>
      <c r="M41" s="1499">
        <f t="shared" si="10"/>
        <v>0</v>
      </c>
      <c r="N41" s="1499">
        <f t="shared" si="10"/>
        <v>0</v>
      </c>
      <c r="O41" s="1499">
        <f t="shared" si="10"/>
        <v>0</v>
      </c>
      <c r="P41" s="1499">
        <f t="shared" si="10"/>
        <v>0</v>
      </c>
      <c r="Q41" s="1499">
        <f t="shared" si="10"/>
        <v>0</v>
      </c>
      <c r="R41" s="1499">
        <f t="shared" si="10"/>
        <v>0</v>
      </c>
      <c r="S41" s="1499">
        <f t="shared" si="10"/>
        <v>0</v>
      </c>
      <c r="T41" s="1526">
        <f t="shared" si="10"/>
        <v>-265271208.96781883</v>
      </c>
      <c r="U41" s="958"/>
      <c r="V41" s="958"/>
      <c r="W41" s="958"/>
      <c r="X41" s="958"/>
      <c r="Y41" s="958"/>
      <c r="Z41" s="958"/>
      <c r="AA41" s="958"/>
      <c r="AB41" s="958"/>
      <c r="AC41" s="958"/>
      <c r="AD41" s="958"/>
    </row>
    <row r="42" spans="1:30" x14ac:dyDescent="0.3">
      <c r="B42" s="1579"/>
      <c r="C42" s="1380" t="str">
        <f t="shared" si="8"/>
        <v xml:space="preserve">Cash Flow </v>
      </c>
      <c r="D42" s="1500"/>
      <c r="E42" s="1528"/>
      <c r="F42" s="1527">
        <f t="shared" ref="F42:T42" si="11">F38-F41</f>
        <v>31165325.688173041</v>
      </c>
      <c r="G42" s="1500">
        <f t="shared" si="11"/>
        <v>31531948.698417369</v>
      </c>
      <c r="H42" s="1500">
        <f t="shared" si="11"/>
        <v>31904418.970058501</v>
      </c>
      <c r="I42" s="1500">
        <f t="shared" si="11"/>
        <v>32282830.235824637</v>
      </c>
      <c r="J42" s="1500">
        <f t="shared" si="11"/>
        <v>32667277.737101395</v>
      </c>
      <c r="K42" s="1500">
        <f t="shared" si="11"/>
        <v>33050193.300768673</v>
      </c>
      <c r="L42" s="1500">
        <f t="shared" si="11"/>
        <v>33439101.604781721</v>
      </c>
      <c r="M42" s="1500">
        <f t="shared" si="11"/>
        <v>27555304.421377767</v>
      </c>
      <c r="N42" s="1500">
        <f t="shared" si="11"/>
        <v>34235275.214406565</v>
      </c>
      <c r="O42" s="1500">
        <f t="shared" si="11"/>
        <v>34642733.662781216</v>
      </c>
      <c r="P42" s="1500">
        <f t="shared" si="11"/>
        <v>35055816.548195384</v>
      </c>
      <c r="Q42" s="1500">
        <f t="shared" si="11"/>
        <v>35475355.77573739</v>
      </c>
      <c r="R42" s="1500">
        <f t="shared" si="11"/>
        <v>-64406973.664969452</v>
      </c>
      <c r="S42" s="1500">
        <f t="shared" si="11"/>
        <v>36334210.800375208</v>
      </c>
      <c r="T42" s="1528">
        <f t="shared" si="11"/>
        <v>183610096.64711446</v>
      </c>
      <c r="U42" s="1529"/>
      <c r="V42" s="1529"/>
      <c r="W42" s="1529"/>
      <c r="X42" s="1529"/>
      <c r="Y42" s="1529"/>
      <c r="Z42" s="1529"/>
      <c r="AA42" s="1529"/>
      <c r="AB42" s="1529"/>
      <c r="AC42" s="1529"/>
      <c r="AD42" s="958"/>
    </row>
    <row r="43" spans="1:30" x14ac:dyDescent="0.3">
      <c r="A43" s="1505"/>
      <c r="B43" s="1398"/>
      <c r="C43" s="1418" t="str">
        <f t="shared" si="8"/>
        <v>Diskontní sazba</v>
      </c>
      <c r="D43" s="1613"/>
      <c r="E43" s="1614"/>
      <c r="F43" s="1626">
        <f>T21*1/(1+$D$21)</f>
        <v>0.48101709809096993</v>
      </c>
      <c r="G43" s="1549">
        <f>F43*1/(1+$D$21)</f>
        <v>0.45811152199139993</v>
      </c>
      <c r="H43" s="1549">
        <f t="shared" ref="H43:T43" si="12">G43*1/(1+$D$21)</f>
        <v>0.43629668761085705</v>
      </c>
      <c r="I43" s="1549">
        <f t="shared" si="12"/>
        <v>0.41552065486748291</v>
      </c>
      <c r="J43" s="1549">
        <f t="shared" si="12"/>
        <v>0.39573395701665037</v>
      </c>
      <c r="K43" s="1549">
        <f t="shared" si="12"/>
        <v>0.37688948287300034</v>
      </c>
      <c r="L43" s="1549">
        <f t="shared" si="12"/>
        <v>0.35894236464095269</v>
      </c>
      <c r="M43" s="1549">
        <f t="shared" si="12"/>
        <v>0.34184987108662163</v>
      </c>
      <c r="N43" s="1549">
        <f t="shared" si="12"/>
        <v>0.32557130579678251</v>
      </c>
      <c r="O43" s="1549">
        <f t="shared" si="12"/>
        <v>0.31006791028265002</v>
      </c>
      <c r="P43" s="1549">
        <f t="shared" si="12"/>
        <v>0.29530277169776192</v>
      </c>
      <c r="Q43" s="1549">
        <f t="shared" si="12"/>
        <v>0.28124073495024943</v>
      </c>
      <c r="R43" s="1549">
        <f t="shared" si="12"/>
        <v>0.26784831900023753</v>
      </c>
      <c r="S43" s="1549">
        <f t="shared" si="12"/>
        <v>0.25509363714308336</v>
      </c>
      <c r="T43" s="1550">
        <f t="shared" si="12"/>
        <v>0.2429463210886508</v>
      </c>
      <c r="U43" s="1532"/>
      <c r="V43" s="1532"/>
      <c r="W43" s="1532"/>
      <c r="X43" s="1532"/>
      <c r="Y43" s="1532"/>
      <c r="Z43" s="1532"/>
      <c r="AA43" s="1532"/>
      <c r="AB43" s="1532"/>
      <c r="AC43" s="1532"/>
      <c r="AD43" s="1532"/>
    </row>
    <row r="44" spans="1:30" ht="15" thickBot="1" x14ac:dyDescent="0.35">
      <c r="B44" s="1615"/>
      <c r="C44" s="1616" t="str">
        <f t="shared" si="8"/>
        <v>Diskontní cash flow</v>
      </c>
      <c r="D44" s="1617"/>
      <c r="E44" s="1421"/>
      <c r="F44" s="1625">
        <f t="shared" ref="F44:T44" si="13">F42*F43</f>
        <v>14991054.523584956</v>
      </c>
      <c r="G44" s="1576">
        <f t="shared" si="13"/>
        <v>14445149.009586724</v>
      </c>
      <c r="H44" s="1576">
        <f t="shared" si="13"/>
        <v>13919792.316785514</v>
      </c>
      <c r="I44" s="1576">
        <f t="shared" si="13"/>
        <v>13414182.760565631</v>
      </c>
      <c r="J44" s="1576">
        <f t="shared" si="13"/>
        <v>12927551.083865063</v>
      </c>
      <c r="K44" s="1576">
        <f t="shared" si="13"/>
        <v>12456270.261979405</v>
      </c>
      <c r="L44" s="1576">
        <f t="shared" si="13"/>
        <v>12002710.201489426</v>
      </c>
      <c r="M44" s="1576">
        <f t="shared" si="13"/>
        <v>9419777.2642006055</v>
      </c>
      <c r="N44" s="1576">
        <f t="shared" si="13"/>
        <v>11146023.255866569</v>
      </c>
      <c r="O44" s="1576">
        <f t="shared" si="13"/>
        <v>10741600.033296986</v>
      </c>
      <c r="P44" s="1576">
        <f t="shared" si="13"/>
        <v>10352079.790810365</v>
      </c>
      <c r="Q44" s="1576">
        <f t="shared" si="13"/>
        <v>9977115.1309899595</v>
      </c>
      <c r="R44" s="1576">
        <f t="shared" si="13"/>
        <v>-17251299.628054637</v>
      </c>
      <c r="S44" s="1576">
        <f t="shared" si="13"/>
        <v>9268625.9857912138</v>
      </c>
      <c r="T44" s="1577">
        <f t="shared" si="13"/>
        <v>44607397.495148078</v>
      </c>
      <c r="U44" s="958"/>
      <c r="V44" s="958"/>
      <c r="W44" s="958"/>
      <c r="X44" s="958"/>
      <c r="Y44" s="958"/>
      <c r="Z44" s="958"/>
      <c r="AA44" s="958"/>
      <c r="AB44" s="958"/>
      <c r="AC44" s="958"/>
      <c r="AD44" s="958"/>
    </row>
    <row r="45" spans="1:30" ht="13.9" customHeight="1" thickBot="1" x14ac:dyDescent="0.35">
      <c r="F45" s="1524">
        <f>IF(F24&gt;='0 Úvod'!$G$20,IF($T$47="ŽELEZNIČNÍ",F26+F30,IF($T$47="SILNIČNÍ",F27+F31,IF($T$47="VODNÍ",F28+F32,F29+F33))),0)</f>
        <v>-4467448.0501861386</v>
      </c>
      <c r="G45" s="1524">
        <f>IF(G24&gt;='0 Úvod'!$G$20,IF($T$47="ŽELEZNIČNÍ",G26+G30,IF($T$47="SILNIČNÍ",G27+G31,IF($T$47="VODNÍ",G28+G32,G29+G33))),0)</f>
        <v>-4466158.4200638756</v>
      </c>
      <c r="H45" s="1524">
        <f>IF(H24&gt;='0 Úvod'!$G$20,IF($T$47="ŽELEZNIČNÍ",H26+H30,IF($T$47="SILNIČNÍ",H27+H31,IF($T$47="VODNÍ",H28+H32,H29+H33))),0)</f>
        <v>-4464862.3417909993</v>
      </c>
      <c r="I45" s="1524">
        <f>IF(I24&gt;='0 Úvod'!$G$20,IF($T$47="ŽELEZNIČNÍ",I26+I30,IF($T$47="SILNIČNÍ",I27+I31,IF($T$47="VODNÍ",I28+I32,I29+I33))),0)</f>
        <v>-4463559.7831267575</v>
      </c>
      <c r="J45" s="1524">
        <f>IF(J24&gt;='0 Úvod'!$G$20,IF($T$47="ŽELEZNIČNÍ",J26+J30,IF($T$47="SILNIČNÍ",J27+J31,IF($T$47="VODNÍ",J28+J32,J29+J33))),0)</f>
        <v>-4462250.7116691964</v>
      </c>
      <c r="K45" s="1524">
        <f>IF(K24&gt;='0 Úvod'!$G$20,IF($T$47="ŽELEZNIČNÍ",K26+K30,IF($T$47="SILNIČNÍ",K27+K31,IF($T$47="VODNÍ",K28+K32,K29+K33))),0)</f>
        <v>-4460935.0948543446</v>
      </c>
      <c r="L45" s="1524">
        <f>IF(L24&gt;='0 Úvod'!$G$20,IF($T$47="ŽELEZNIČNÍ",L26+L30,IF($T$47="SILNIČNÍ",L27+L31,IF($T$47="VODNÍ",L28+L32,L29+L33))),0)</f>
        <v>-4459612.8999554217</v>
      </c>
      <c r="M45" s="1524">
        <f>IF(M24&gt;='0 Úvod'!$G$20,IF($T$47="ŽELEZNIČNÍ",M26+M30,IF($T$47="SILNIČNÍ",M27+M31,IF($T$47="VODNÍ",M28+M32,M29+M33))),0)</f>
        <v>-10737076.644105738</v>
      </c>
      <c r="N45" s="1524">
        <f>IF(N24&gt;='0 Úvod'!$G$20,IF($T$47="ŽELEZNIČNÍ",N26+N30,IF($T$47="SILNIČNÍ",N27+N31,IF($T$47="VODNÍ",N28+N32,N29+N33))),0)</f>
        <v>-4456948.6441792175</v>
      </c>
      <c r="O45" s="1524">
        <f>IF(O24&gt;='0 Úvod'!$G$20,IF($T$47="ŽELEZNIČNÍ",O26+O30,IF($T$47="SILNIČNÍ",O27+O31,IF($T$47="VODNÍ",O28+O32,O29+O33))),0)</f>
        <v>-4455606.517026918</v>
      </c>
      <c r="P45" s="1524">
        <f>IF(P24&gt;='0 Úvod'!$G$20,IF($T$47="ŽELEZNIČNÍ",P26+P30,IF($T$47="SILNIČNÍ",P27+P31,IF($T$47="VODNÍ",P28+P32,P29+P33))),0)</f>
        <v>-4454257.6792388568</v>
      </c>
      <c r="Q45" s="1524">
        <f>IF(Q24&gt;='0 Úvod'!$G$20,IF($T$47="ŽELEZNIČNÍ",Q26+Q30,IF($T$47="SILNIČNÍ",Q27+Q31,IF($T$47="VODNÍ",Q28+Q32,Q29+Q33))),0)</f>
        <v>-4452902.0972618544</v>
      </c>
      <c r="R45" s="1524">
        <f>IF(R24&gt;='0 Úvod'!$G$20,IF($T$47="ŽELEZNIČNÍ",R26+R30,IF($T$47="SILNIČNÍ",R27+R31,IF($T$47="VODNÍ",R28+R32,R29+R33))),0)</f>
        <v>-104760418.17746562</v>
      </c>
      <c r="S45" s="1524">
        <f>IF(S24&gt;='0 Úvod'!$G$20,IF($T$47="ŽELEZNIČNÍ",S26+S30,IF($T$47="SILNIČNÍ",S27+S31,IF($T$47="VODNÍ",S28+S32,S29+S33))),0)</f>
        <v>-4450170.5656886483</v>
      </c>
      <c r="T45" s="1524">
        <f>IF(T24&gt;='0 Úvod'!$G$20,IF($T$47="ŽELEZNIČNÍ",T26+T30,IF($T$47="SILNIČNÍ",T27+T31,IF($T$47="VODNÍ",T28+T32,T29+T33))),0)</f>
        <v>-122883641.27019843</v>
      </c>
    </row>
    <row r="46" spans="1:30" s="1506" customFormat="1" thickBot="1" x14ac:dyDescent="0.3">
      <c r="B46" s="1563" t="str">
        <f>IF('0 Úvod'!$M$10="English",Slovnik!D608,Slovnik!C608)</f>
        <v>Ekonomické vnitřní výnosové procento ERR</v>
      </c>
      <c r="C46" s="1557"/>
      <c r="D46" s="1557"/>
      <c r="E46" s="1557"/>
      <c r="F46" s="1502">
        <f>ROUND(IRR((F20:T20,F42:T42),0.05),4)</f>
        <v>9.06E-2</v>
      </c>
      <c r="H46" s="1533"/>
      <c r="J46" s="1534"/>
      <c r="K46" s="1534"/>
      <c r="L46" s="1534"/>
      <c r="M46" s="1534"/>
      <c r="N46" s="1534"/>
      <c r="O46" s="1535"/>
      <c r="P46" s="1535"/>
    </row>
    <row r="47" spans="1:30" s="1506" customFormat="1" thickBot="1" x14ac:dyDescent="0.3">
      <c r="B47" s="1564" t="str">
        <f>IF('0 Úvod'!$M$10="English",Slovnik!D609,Slovnik!C609)</f>
        <v>Ekonomická čistá současná hodnota ENPV (CZK)</v>
      </c>
      <c r="C47" s="1565"/>
      <c r="D47" s="1560"/>
      <c r="E47" s="1560"/>
      <c r="F47" s="1386">
        <f>SUM(F22:T22,F44:T44)</f>
        <v>179930222.22320598</v>
      </c>
      <c r="H47" s="1536"/>
      <c r="I47" s="1537"/>
      <c r="J47" s="1536"/>
      <c r="K47" s="1536"/>
      <c r="L47" s="1536"/>
      <c r="M47" s="1536"/>
      <c r="N47" s="1536"/>
      <c r="O47" s="1538"/>
      <c r="P47" s="1538"/>
      <c r="S47" s="1553" t="str">
        <f>IF('0 Úvod'!$M$10="English",Slovnik!$D$612,Slovnik!$C$612)</f>
        <v>Investiční náklady jsou vynaloženy na infrastrukturu</v>
      </c>
      <c r="T47" s="1555" t="s">
        <v>212</v>
      </c>
    </row>
    <row r="48" spans="1:30" ht="15" thickBot="1" x14ac:dyDescent="0.35">
      <c r="B48" s="1564" t="str">
        <f>IF('0 Úvod'!$M$10="English",Slovnik!D610,Slovnik!C610)</f>
        <v>Rentabilita nákladů</v>
      </c>
      <c r="C48" s="1565"/>
      <c r="D48" s="1560"/>
      <c r="E48" s="1560"/>
      <c r="F48" s="1503">
        <f>(SUMPRODUCT(F16:T16,F21:T21)+SUMPRODUCT(F38:T38,F43:T43)-SUMPRODUCT(F40:T40,F43:T43))/((SUMPRODUCT(F17:T17,F21:T21)+SUMPRODUCT(F39:T39,F43:T43)))</f>
        <v>1.3149820414476645</v>
      </c>
      <c r="K48" s="1567"/>
      <c r="T48" s="1884" t="str">
        <f>IF('0 Úvod'!$M$10="English","ŽELEZNIČNÍ=RAIL, SILNIČNÍ=ROAD, VODNÍ=WATERWAY, OSTATNÍ=OTHER"," ")</f>
        <v xml:space="preserve"> </v>
      </c>
    </row>
    <row r="49" spans="2:20" ht="15" thickBot="1" x14ac:dyDescent="0.35">
      <c r="B49" s="1566" t="str">
        <f>IF('0 Úvod'!$M$10="English",Slovnik!D611,Slovnik!C611)</f>
        <v>Ekonomická čistá současná hodnota ENPV (EUR)</v>
      </c>
      <c r="C49" s="1560"/>
      <c r="D49" s="1560"/>
      <c r="E49" s="1560"/>
      <c r="F49" s="1386">
        <f>F47/'0 Úvod'!N18</f>
        <v>7012089.7203120021</v>
      </c>
    </row>
    <row r="50" spans="2:20" x14ac:dyDescent="0.3">
      <c r="B50" s="1539"/>
      <c r="C50" s="1539"/>
      <c r="D50" s="1539"/>
      <c r="E50" s="1539"/>
      <c r="K50" s="1567"/>
    </row>
    <row r="51" spans="2:20" ht="15" thickBot="1" x14ac:dyDescent="0.35"/>
    <row r="52" spans="2:20" x14ac:dyDescent="0.3">
      <c r="B52" s="2578" t="str">
        <f>IF('0 Úvod'!$M$10="English",Slovnik!$D$613,Slovnik!$C$613)</f>
        <v>Komentáře</v>
      </c>
      <c r="C52" s="2579"/>
      <c r="D52" s="2579"/>
      <c r="E52" s="2579"/>
      <c r="F52" s="2579"/>
      <c r="G52" s="2579"/>
      <c r="H52" s="2579"/>
      <c r="I52" s="2579"/>
      <c r="J52" s="2579"/>
      <c r="K52" s="2579"/>
      <c r="L52" s="2579"/>
      <c r="M52" s="2579"/>
      <c r="N52" s="2579"/>
      <c r="O52" s="2579"/>
      <c r="P52" s="2579"/>
      <c r="Q52" s="2579"/>
      <c r="R52" s="2579"/>
      <c r="S52" s="2579"/>
      <c r="T52" s="2652"/>
    </row>
    <row r="53" spans="2:20" ht="15" thickBot="1" x14ac:dyDescent="0.35">
      <c r="B53" s="2580"/>
      <c r="C53" s="2581"/>
      <c r="D53" s="2581"/>
      <c r="E53" s="2581"/>
      <c r="F53" s="2581"/>
      <c r="G53" s="2581"/>
      <c r="H53" s="2581"/>
      <c r="I53" s="2581"/>
      <c r="J53" s="2581"/>
      <c r="K53" s="2581"/>
      <c r="L53" s="2581"/>
      <c r="M53" s="2581"/>
      <c r="N53" s="2581"/>
      <c r="O53" s="2581"/>
      <c r="P53" s="2581"/>
      <c r="Q53" s="2581"/>
      <c r="R53" s="2581"/>
      <c r="S53" s="2581"/>
      <c r="T53" s="2653"/>
    </row>
    <row r="54" spans="2:20" x14ac:dyDescent="0.3">
      <c r="B54" s="1600" t="str">
        <f>IF('0 Úvod'!$M$10="English",Slovnik!$E$608,Slovnik!$E$607)</f>
        <v>Pro správné použití konverzního faktoru je nutné vybrat v buňce T43 typ investice dle dopravního módu. Pokud se jedná o kombinaci, je nutné stanovit konverzní faktor pro konkrétní projekt nebo zvolit převládající dopravní mód z hlediska výše nákladů.</v>
      </c>
      <c r="C54" s="1596"/>
      <c r="D54" s="1597"/>
      <c r="E54" s="1597"/>
      <c r="F54" s="1597"/>
      <c r="G54" s="1598"/>
      <c r="H54" s="1599"/>
      <c r="I54" s="1599"/>
      <c r="J54" s="1599"/>
      <c r="K54" s="1599"/>
      <c r="L54" s="1599"/>
      <c r="M54" s="1599"/>
      <c r="N54" s="1599"/>
      <c r="O54" s="1599"/>
      <c r="P54" s="1599"/>
      <c r="Q54" s="1592"/>
      <c r="R54" s="1592"/>
      <c r="S54" s="1592"/>
      <c r="T54" s="1593"/>
    </row>
    <row r="55" spans="2:20" ht="15" thickBot="1" x14ac:dyDescent="0.35">
      <c r="B55" s="1736" t="str">
        <f>IF('0 Úvod'!$M$10="English",Slovnik!$E$611,Slovnik!$E$610)</f>
        <v>Mohou být zahrnuty i jiné přínosy a náklady dle konkrétního projektu (v takovém případě je nutné propojit řádek 13. resp. 33 s listem '9 Ostatní přínosy EA')</v>
      </c>
      <c r="C55" s="1594"/>
      <c r="D55" s="1594"/>
      <c r="E55" s="1594"/>
      <c r="F55" s="1594"/>
      <c r="G55" s="1594"/>
      <c r="H55" s="1594"/>
      <c r="I55" s="1594"/>
      <c r="J55" s="1594"/>
      <c r="K55" s="1594"/>
      <c r="L55" s="1594"/>
      <c r="M55" s="1594"/>
      <c r="N55" s="1594"/>
      <c r="O55" s="1594"/>
      <c r="P55" s="1594"/>
      <c r="Q55" s="1594"/>
      <c r="R55" s="1594"/>
      <c r="S55" s="1594"/>
      <c r="T55" s="1595"/>
    </row>
  </sheetData>
  <sheetProtection algorithmName="SHA-512" hashValue="Dv5ez7EZiZzEvzJq5FM6lVPfyTwoelD3aupGZKTRtBiqBGZjfHj8Ulwj9joP81Z93RkXlaY4uBli9nrtwRsOeA==" saltValue="HzYRvITF4yRRwhRmKM7JCA==" spinCount="100000" sheet="1" formatCells="0" formatColumns="0" formatRows="0" insertColumns="0" insertRows="0" insertHyperlinks="0" deleteColumns="0" deleteRows="0" sort="0" autoFilter="0" pivotTables="0"/>
  <mergeCells count="32">
    <mergeCell ref="Q24:Q25"/>
    <mergeCell ref="R24:R25"/>
    <mergeCell ref="S24:S25"/>
    <mergeCell ref="T24:T25"/>
    <mergeCell ref="K24:K25"/>
    <mergeCell ref="L24:L25"/>
    <mergeCell ref="M24:M25"/>
    <mergeCell ref="N24:N25"/>
    <mergeCell ref="O24:O25"/>
    <mergeCell ref="P24:P25"/>
    <mergeCell ref="B52:T53"/>
    <mergeCell ref="Q2:Q3"/>
    <mergeCell ref="R2:R3"/>
    <mergeCell ref="S2:S3"/>
    <mergeCell ref="T2:T3"/>
    <mergeCell ref="F24:F25"/>
    <mergeCell ref="G24:G25"/>
    <mergeCell ref="H24:H25"/>
    <mergeCell ref="I24:I25"/>
    <mergeCell ref="J24:J25"/>
    <mergeCell ref="K2:K3"/>
    <mergeCell ref="L2:L3"/>
    <mergeCell ref="M2:M3"/>
    <mergeCell ref="N2:N3"/>
    <mergeCell ref="O2:O3"/>
    <mergeCell ref="P2:P3"/>
    <mergeCell ref="J2:J3"/>
    <mergeCell ref="E2:E3"/>
    <mergeCell ref="F2:F3"/>
    <mergeCell ref="G2:G3"/>
    <mergeCell ref="H2:H3"/>
    <mergeCell ref="I2:I3"/>
  </mergeCells>
  <conditionalFormatting sqref="H46">
    <cfRule type="cellIs" dxfId="6" priority="1" stopIfTrue="1" operator="equal">
      <formula>"OK"</formula>
    </cfRule>
    <cfRule type="cellIs" dxfId="5" priority="2" stopIfTrue="1" operator="equal">
      <formula>"ERROR!"</formula>
    </cfRule>
  </conditionalFormatting>
  <dataValidations count="1">
    <dataValidation type="list" showInputMessage="1" showErrorMessage="1" prompt="V tomto poli je nutné vybrat typ infrastruktury!_x000a__x000a_(In this field you must select the type of infrastructure!)" sqref="T47" xr:uid="{00000000-0002-0000-0C00-000000000000}">
      <formula1>PNINFRA</formula1>
    </dataValidation>
  </dataValidations>
  <pageMargins left="0.19" right="0.15000000000000002" top="0.79000000000000015" bottom="0.79000000000000015" header="0.39000000000000007" footer="0.39000000000000007"/>
  <pageSetup paperSize="9" scale="59" fitToHeight="0" orientation="landscape" r:id="rId1"/>
  <headerFooter alignWithMargins="0">
    <oddFooter>&amp;L&amp;A&amp;C&amp;D</oddFoot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3">
    <pageSetUpPr fitToPage="1"/>
  </sheetPr>
  <dimension ref="B1:AQ54"/>
  <sheetViews>
    <sheetView defaultGridColor="0" colorId="23" zoomScale="80" zoomScaleNormal="80" workbookViewId="0"/>
  </sheetViews>
  <sheetFormatPr defaultColWidth="9.140625" defaultRowHeight="13.5" x14ac:dyDescent="0.3"/>
  <cols>
    <col min="1" max="1" width="2.7109375" style="25" customWidth="1"/>
    <col min="2" max="2" width="6.85546875" style="25" customWidth="1"/>
    <col min="3" max="3" width="69" style="25" customWidth="1"/>
    <col min="4" max="4" width="13" style="25" bestFit="1" customWidth="1"/>
    <col min="5" max="5" width="12.140625" style="25" customWidth="1"/>
    <col min="6" max="19" width="12.28515625" style="25" bestFit="1" customWidth="1"/>
    <col min="20" max="29" width="12.28515625" style="25" customWidth="1"/>
    <col min="30" max="44" width="7.140625" style="25" customWidth="1"/>
    <col min="45" max="16384" width="9.140625" style="25"/>
  </cols>
  <sheetData>
    <row r="1" spans="2:29" ht="14.25" thickBot="1" x14ac:dyDescent="0.35">
      <c r="E1" s="208"/>
    </row>
    <row r="2" spans="2:29" ht="14.25" x14ac:dyDescent="0.3">
      <c r="B2" s="993" t="s">
        <v>207</v>
      </c>
      <c r="C2" s="209" t="str">
        <f>IF('0 Úvod'!$M$10="English",Slovnik!$D$615,Slovnik!$C$615)</f>
        <v>S projektem</v>
      </c>
      <c r="D2" s="994"/>
      <c r="E2" s="2323">
        <f>'0 Úvod'!G18</f>
        <v>2021</v>
      </c>
      <c r="F2" s="2323">
        <f t="shared" ref="F2:S2" si="0">E2+1</f>
        <v>2022</v>
      </c>
      <c r="G2" s="2323">
        <f t="shared" si="0"/>
        <v>2023</v>
      </c>
      <c r="H2" s="2323">
        <f t="shared" si="0"/>
        <v>2024</v>
      </c>
      <c r="I2" s="2323">
        <f t="shared" si="0"/>
        <v>2025</v>
      </c>
      <c r="J2" s="2323">
        <f t="shared" si="0"/>
        <v>2026</v>
      </c>
      <c r="K2" s="2323">
        <f t="shared" si="0"/>
        <v>2027</v>
      </c>
      <c r="L2" s="2323">
        <f t="shared" si="0"/>
        <v>2028</v>
      </c>
      <c r="M2" s="2323">
        <f t="shared" si="0"/>
        <v>2029</v>
      </c>
      <c r="N2" s="2323">
        <f t="shared" si="0"/>
        <v>2030</v>
      </c>
      <c r="O2" s="2323">
        <f t="shared" si="0"/>
        <v>2031</v>
      </c>
      <c r="P2" s="2323">
        <f>O2+1</f>
        <v>2032</v>
      </c>
      <c r="Q2" s="2323">
        <f t="shared" si="0"/>
        <v>2033</v>
      </c>
      <c r="R2" s="2323">
        <f t="shared" si="0"/>
        <v>2034</v>
      </c>
      <c r="S2" s="2329">
        <f t="shared" si="0"/>
        <v>2035</v>
      </c>
      <c r="T2" s="977"/>
      <c r="U2" s="978"/>
      <c r="V2" s="978"/>
      <c r="W2" s="978"/>
      <c r="X2" s="978"/>
      <c r="Y2" s="978"/>
      <c r="Z2" s="978"/>
      <c r="AA2" s="978"/>
      <c r="AB2" s="978"/>
      <c r="AC2" s="978"/>
    </row>
    <row r="3" spans="2:29" ht="15" thickBot="1" x14ac:dyDescent="0.35">
      <c r="B3" s="210" t="s">
        <v>23</v>
      </c>
      <c r="C3" s="211"/>
      <c r="D3" s="212" t="str">
        <f>IF('0 Úvod'!$M$10="English",Slovnik!$D$620,Slovnik!$C$620)</f>
        <v>Celkem</v>
      </c>
      <c r="E3" s="2575"/>
      <c r="F3" s="2575"/>
      <c r="G3" s="2575"/>
      <c r="H3" s="2575"/>
      <c r="I3" s="2575"/>
      <c r="J3" s="2575"/>
      <c r="K3" s="2575"/>
      <c r="L3" s="2575"/>
      <c r="M3" s="2575"/>
      <c r="N3" s="2575"/>
      <c r="O3" s="2575"/>
      <c r="P3" s="2575"/>
      <c r="Q3" s="2575"/>
      <c r="R3" s="2575"/>
      <c r="S3" s="2577"/>
      <c r="T3" s="977"/>
      <c r="U3" s="978"/>
      <c r="V3" s="978"/>
      <c r="W3" s="978"/>
      <c r="X3" s="978"/>
      <c r="Y3" s="978"/>
      <c r="Z3" s="978"/>
      <c r="AA3" s="978"/>
      <c r="AB3" s="978"/>
      <c r="AC3" s="978"/>
    </row>
    <row r="4" spans="2:29" ht="13.5" customHeight="1" x14ac:dyDescent="0.3">
      <c r="B4" s="1006" t="s">
        <v>5</v>
      </c>
      <c r="C4" s="1007" t="str">
        <f>IF('0 Úvod'!$M$10="English",Slovnik!D616,Slovnik!C616)</f>
        <v>Náklady na údržbu a opravy</v>
      </c>
      <c r="D4" s="378">
        <f>SUM(E4:S4,E11:S11)</f>
        <v>665157855.7872436</v>
      </c>
      <c r="E4" s="2161">
        <f>IF('10 Finanční analýza (FRR_C)'!$S$29="ŽELEZNIČNÍ",'3 PN infrastruktury'!E4+'3 PN infrastruktury'!E5,IF('10 Finanční analýza (FRR_C)'!$S$29="OSTATNÍ",'3 PN infrastruktury'!E11+'3 PN infrastruktury'!E12,0))+IF('10 Finanční analýza (FRR_C)'!$S$30="MHD",'4 PN vozidel'!E11,IF('10 Finanční analýza (FRR_C)'!$S$30="MHD (vč. MĚSTSKÝ BUS)",'4 PN vozidel'!E10+'4 PN vozidel'!E11,0))</f>
        <v>5704048.7464758754</v>
      </c>
      <c r="F4" s="2162">
        <f>IF('10 Finanční analýza (FRR_C)'!$S$29="ŽELEZNIČNÍ",'3 PN infrastruktury'!F4+'3 PN infrastruktury'!F5,IF('10 Finanční analýza (FRR_C)'!$S$29="OSTATNÍ",'3 PN infrastruktury'!F11+'3 PN infrastruktury'!F12,0))+IF('10 Finanční analýza (FRR_C)'!$S$30="MHD",'4 PN vozidel'!F11,IF('10 Finanční analýza (FRR_C)'!$S$30="MHD (vč. MĚSTSKÝ BUS)",'4 PN vozidel'!F10+'4 PN vozidel'!F11,0))</f>
        <v>5724118.1568749212</v>
      </c>
      <c r="G4" s="2162">
        <f>IF('10 Finanční analýza (FRR_C)'!$S$29="ŽELEZNIČNÍ",'3 PN infrastruktury'!G4+'3 PN infrastruktury'!G5,IF('10 Finanční analýza (FRR_C)'!$S$29="OSTATNÍ",'3 PN infrastruktury'!G11+'3 PN infrastruktury'!G12,0))+IF('10 Finanční analýza (FRR_C)'!$S$30="MHD",'4 PN vozidel'!G11,IF('10 Finanční analýza (FRR_C)'!$S$30="MHD (vč. MĚSTSKÝ BUS)",'4 PN vozidel'!G10+'4 PN vozidel'!G11,0))</f>
        <v>4673155.3992505278</v>
      </c>
      <c r="H4" s="2162">
        <f>IF('10 Finanční analýza (FRR_C)'!$S$29="ŽELEZNIČNÍ",'3 PN infrastruktury'!H4+'3 PN infrastruktury'!H5,IF('10 Finanční analýza (FRR_C)'!$S$29="OSTATNÍ",'3 PN infrastruktury'!H11+'3 PN infrastruktury'!H12,0))+IF('10 Finanční analýza (FRR_C)'!$S$30="MHD",'4 PN vozidel'!H11,IF('10 Finanční analýza (FRR_C)'!$S$30="MHD (vč. MĚSTSKÝ BUS)",'4 PN vozidel'!H10+'4 PN vozidel'!H11,0))</f>
        <v>4691905.6706869146</v>
      </c>
      <c r="I4" s="2162">
        <f>IF('10 Finanční analýza (FRR_C)'!$S$29="ŽELEZNIČNÍ",'3 PN infrastruktury'!I4+'3 PN infrastruktury'!I5,IF('10 Finanční analýza (FRR_C)'!$S$29="OSTATNÍ",'3 PN infrastruktury'!I11+'3 PN infrastruktury'!I12,0))+IF('10 Finanční analýza (FRR_C)'!$S$30="MHD",'4 PN vozidel'!I11,IF('10 Finanční analýza (FRR_C)'!$S$30="MHD (vč. MĚSTSKÝ BUS)",'4 PN vozidel'!I10+'4 PN vozidel'!I11,0))</f>
        <v>4710749.6934804833</v>
      </c>
      <c r="J4" s="2162">
        <f>IF('10 Finanční analýza (FRR_C)'!$S$29="ŽELEZNIČNÍ",'3 PN infrastruktury'!J4+'3 PN infrastruktury'!J5,IF('10 Finanční analýza (FRR_C)'!$S$29="OSTATNÍ",'3 PN infrastruktury'!J11+'3 PN infrastruktury'!J12,0))+IF('10 Finanční analýza (FRR_C)'!$S$30="MHD",'4 PN vozidel'!J11,IF('10 Finanční analýza (FRR_C)'!$S$30="MHD (vč. MĚSTSKÝ BUS)",'4 PN vozidel'!J10+'4 PN vozidel'!J11,0))</f>
        <v>4729687.9363880195</v>
      </c>
      <c r="K4" s="2162">
        <f>IF('10 Finanční analýza (FRR_C)'!$S$29="ŽELEZNIČNÍ",'3 PN infrastruktury'!K4+'3 PN infrastruktury'!K5,IF('10 Finanční analýza (FRR_C)'!$S$29="OSTATNÍ",'3 PN infrastruktury'!K11+'3 PN infrastruktury'!K12,0))+IF('10 Finanční analýza (FRR_C)'!$S$30="MHD",'4 PN vozidel'!K11,IF('10 Finanční analýza (FRR_C)'!$S$30="MHD (vč. MĚSTSKÝ BUS)",'4 PN vozidel'!K10+'4 PN vozidel'!K11,0))</f>
        <v>4748720.8705100939</v>
      </c>
      <c r="L4" s="2162">
        <f>IF('10 Finanční analýza (FRR_C)'!$S$29="ŽELEZNIČNÍ",'3 PN infrastruktury'!L4+'3 PN infrastruktury'!L5,IF('10 Finanční analýza (FRR_C)'!$S$29="OSTATNÍ",'3 PN infrastruktury'!L11+'3 PN infrastruktury'!L12,0))+IF('10 Finanční analýza (FRR_C)'!$S$30="MHD",'4 PN vozidel'!L11,IF('10 Finanční analýza (FRR_C)'!$S$30="MHD (vč. MĚSTSKÝ BUS)",'4 PN vozidel'!L10+'4 PN vozidel'!L11,0))</f>
        <v>4767848.9693027791</v>
      </c>
      <c r="M4" s="2162">
        <f>IF('10 Finanční analýza (FRR_C)'!$S$29="ŽELEZNIČNÍ",'3 PN infrastruktury'!M4+'3 PN infrastruktury'!M5,IF('10 Finanční analýza (FRR_C)'!$S$29="OSTATNÍ",'3 PN infrastruktury'!M11+'3 PN infrastruktury'!M12,0))+IF('10 Finanční analýza (FRR_C)'!$S$30="MHD",'4 PN vozidel'!M11,IF('10 Finanční analýza (FRR_C)'!$S$30="MHD (vč. MĚSTSKÝ BUS)",'4 PN vozidel'!M10+'4 PN vozidel'!M11,0))</f>
        <v>4787072.7085894262</v>
      </c>
      <c r="N4" s="2162">
        <f>IF('10 Finanční analýza (FRR_C)'!$S$29="ŽELEZNIČNÍ",'3 PN infrastruktury'!N4+'3 PN infrastruktury'!N5,IF('10 Finanční analýza (FRR_C)'!$S$29="OSTATNÍ",'3 PN infrastruktury'!N11+'3 PN infrastruktury'!N12,0))+IF('10 Finanční analýza (FRR_C)'!$S$30="MHD",'4 PN vozidel'!N11,IF('10 Finanční analýza (FRR_C)'!$S$30="MHD (vč. MĚSTSKÝ BUS)",'4 PN vozidel'!N10+'4 PN vozidel'!N11,0))</f>
        <v>4806392.5665725069</v>
      </c>
      <c r="O4" s="2162">
        <f>IF('10 Finanční analýza (FRR_C)'!$S$29="ŽELEZNIČNÍ",'3 PN infrastruktury'!O4+'3 PN infrastruktury'!O5,IF('10 Finanční analýza (FRR_C)'!$S$29="OSTATNÍ",'3 PN infrastruktury'!O11+'3 PN infrastruktury'!O12,0))+IF('10 Finanční analýza (FRR_C)'!$S$30="MHD",'4 PN vozidel'!O11,IF('10 Finanční analýza (FRR_C)'!$S$30="MHD (vč. MĚSTSKÝ BUS)",'4 PN vozidel'!O10+'4 PN vozidel'!O11,0))</f>
        <v>4825809.023845504</v>
      </c>
      <c r="P4" s="2162">
        <f>IF('10 Finanční analýza (FRR_C)'!$S$29="ŽELEZNIČNÍ",'3 PN infrastruktury'!P4+'3 PN infrastruktury'!P5,IF('10 Finanční analýza (FRR_C)'!$S$29="OSTATNÍ",'3 PN infrastruktury'!P11+'3 PN infrastruktury'!P12,0))+IF('10 Finanční analýza (FRR_C)'!$S$30="MHD",'4 PN vozidel'!P11,IF('10 Finanční analýza (FRR_C)'!$S$30="MHD (vč. MĚSTSKÝ BUS)",'4 PN vozidel'!P10+'4 PN vozidel'!P11,0))</f>
        <v>4845322.5634048656</v>
      </c>
      <c r="Q4" s="2162">
        <f>IF('10 Finanční analýza (FRR_C)'!$S$29="ŽELEZNIČNÍ",'3 PN infrastruktury'!Q4+'3 PN infrastruktury'!Q5,IF('10 Finanční analýza (FRR_C)'!$S$29="OSTATNÍ",'3 PN infrastruktury'!Q11+'3 PN infrastruktury'!Q12,0))+IF('10 Finanční analýza (FRR_C)'!$S$30="MHD",'4 PN vozidel'!Q11,IF('10 Finanční analýza (FRR_C)'!$S$30="MHD (vč. MĚSTSKÝ BUS)",'4 PN vozidel'!Q10+'4 PN vozidel'!Q11,0))</f>
        <v>4864933.6706620241</v>
      </c>
      <c r="R4" s="2162">
        <f>IF('10 Finanční analýza (FRR_C)'!$S$29="ŽELEZNIČNÍ",'3 PN infrastruktury'!R4+'3 PN infrastruktury'!R5,IF('10 Finanční analýza (FRR_C)'!$S$29="OSTATNÍ",'3 PN infrastruktury'!R11+'3 PN infrastruktury'!R12,0))+IF('10 Finanční analýza (FRR_C)'!$S$30="MHD",'4 PN vozidel'!R11,IF('10 Finanční analýza (FRR_C)'!$S$30="MHD (vč. MĚSTSKÝ BUS)",'4 PN vozidel'!R10+'4 PN vozidel'!R11,0))</f>
        <v>4884642.8334554685</v>
      </c>
      <c r="S4" s="2163">
        <f>IF('10 Finanční analýza (FRR_C)'!$S$29="ŽELEZNIČNÍ",'3 PN infrastruktury'!S4+'3 PN infrastruktury'!S5,IF('10 Finanční analýza (FRR_C)'!$S$29="OSTATNÍ",'3 PN infrastruktury'!S11+'3 PN infrastruktury'!S12,0))+IF('10 Finanční analýza (FRR_C)'!$S$30="MHD",'4 PN vozidel'!S11,IF('10 Finanční analýza (FRR_C)'!$S$30="MHD (vč. MĚSTSKÝ BUS)",'4 PN vozidel'!S10+'4 PN vozidel'!S11,0))</f>
        <v>4904450.5420628795</v>
      </c>
      <c r="T4" s="208"/>
      <c r="U4" s="208"/>
      <c r="V4" s="208"/>
      <c r="W4" s="208"/>
      <c r="X4" s="208"/>
      <c r="Y4" s="208"/>
      <c r="Z4" s="208"/>
      <c r="AA4" s="208"/>
      <c r="AB4" s="208"/>
      <c r="AC4" s="208"/>
    </row>
    <row r="5" spans="2:29" ht="14.25" x14ac:dyDescent="0.3">
      <c r="B5" s="1008" t="s">
        <v>6</v>
      </c>
      <c r="C5" s="254" t="str">
        <f>IF('0 Úvod'!$M$10="English",Slovnik!D617,Slovnik!C617)</f>
        <v>Náklady na řízení provozu</v>
      </c>
      <c r="D5" s="379">
        <f>SUM(E5:S5,E12:S12)</f>
        <v>199279175.49164414</v>
      </c>
      <c r="E5" s="2164">
        <f>'3 PN infrastruktury'!E6</f>
        <v>4693012.4969425723</v>
      </c>
      <c r="F5" s="2165">
        <f>'3 PN infrastruktury'!F6</f>
        <v>4800482.4831225565</v>
      </c>
      <c r="G5" s="2165">
        <f>'3 PN infrastruktury'!G6</f>
        <v>4910413.5319860633</v>
      </c>
      <c r="H5" s="2165">
        <f>'3 PN infrastruktury'!H6</f>
        <v>5022862.0018685432</v>
      </c>
      <c r="I5" s="2165">
        <f>'3 PN infrastruktury'!I6</f>
        <v>5137885.5417113323</v>
      </c>
      <c r="J5" s="2165">
        <f>'3 PN infrastruktury'!J6</f>
        <v>5255543.1206165217</v>
      </c>
      <c r="K5" s="2165">
        <f>'3 PN infrastruktury'!K6</f>
        <v>5375895.0580786392</v>
      </c>
      <c r="L5" s="2165">
        <f>'3 PN infrastruktury'!L6</f>
        <v>5499003.0549086407</v>
      </c>
      <c r="M5" s="2165">
        <f>'3 PN infrastruktury'!M6</f>
        <v>5624930.2248660484</v>
      </c>
      <c r="N5" s="2165">
        <f>'3 PN infrastruktury'!N6</f>
        <v>5753741.1270154798</v>
      </c>
      <c r="O5" s="2165">
        <f>'3 PN infrastruktury'!O6</f>
        <v>5885501.7988241343</v>
      </c>
      <c r="P5" s="2165">
        <f>'3 PN infrastruktury'!P6</f>
        <v>6020279.7900172062</v>
      </c>
      <c r="Q5" s="2165">
        <f>'3 PN infrastruktury'!Q6</f>
        <v>6158144.1972086001</v>
      </c>
      <c r="R5" s="2165">
        <f>'3 PN infrastruktury'!R6</f>
        <v>6299165.6993246758</v>
      </c>
      <c r="S5" s="2166">
        <f>'3 PN infrastruktury'!S6</f>
        <v>6443416.5938392105</v>
      </c>
      <c r="T5" s="208"/>
      <c r="U5" s="208"/>
      <c r="V5" s="208"/>
      <c r="W5" s="208"/>
      <c r="X5" s="208"/>
      <c r="Y5" s="208"/>
      <c r="Z5" s="208"/>
      <c r="AA5" s="208"/>
      <c r="AB5" s="208"/>
      <c r="AC5" s="208"/>
    </row>
    <row r="6" spans="2:29" ht="12" customHeight="1" x14ac:dyDescent="0.3">
      <c r="B6" s="1008" t="s">
        <v>7</v>
      </c>
      <c r="C6" s="59" t="str">
        <f>IF('0 Úvod'!$M$10="English",Slovnik!D618,Slovnik!C618)</f>
        <v>Příjmy z poplatků za dopravní cestu (případně jízdné)*</v>
      </c>
      <c r="D6" s="379">
        <f>SUM(E6:S6,E13:S13)</f>
        <v>0</v>
      </c>
      <c r="E6" s="2164">
        <f>'8 Příjmy'!E4+'8 Příjmy'!E5</f>
        <v>0</v>
      </c>
      <c r="F6" s="2165">
        <f>'8 Příjmy'!F4+'8 Příjmy'!F5</f>
        <v>0</v>
      </c>
      <c r="G6" s="2165">
        <f>'8 Příjmy'!G4+'8 Příjmy'!G5</f>
        <v>0</v>
      </c>
      <c r="H6" s="2165">
        <f>'8 Příjmy'!H4+'8 Příjmy'!H5</f>
        <v>0</v>
      </c>
      <c r="I6" s="2165">
        <f>'8 Příjmy'!I4+'8 Příjmy'!I5</f>
        <v>0</v>
      </c>
      <c r="J6" s="2165">
        <f>'8 Příjmy'!J4+'8 Příjmy'!J5</f>
        <v>0</v>
      </c>
      <c r="K6" s="2165">
        <f>'8 Příjmy'!K4+'8 Příjmy'!K5</f>
        <v>0</v>
      </c>
      <c r="L6" s="2165">
        <f>'8 Příjmy'!L4+'8 Příjmy'!L5</f>
        <v>0</v>
      </c>
      <c r="M6" s="2165">
        <f>'8 Příjmy'!M4+'8 Příjmy'!M5</f>
        <v>0</v>
      </c>
      <c r="N6" s="2165">
        <f>'8 Příjmy'!N4+'8 Příjmy'!N5</f>
        <v>0</v>
      </c>
      <c r="O6" s="2165">
        <f>'8 Příjmy'!O4+'8 Příjmy'!O5</f>
        <v>0</v>
      </c>
      <c r="P6" s="2165">
        <f>'8 Příjmy'!P4+'8 Příjmy'!P5</f>
        <v>0</v>
      </c>
      <c r="Q6" s="2165">
        <f>'8 Příjmy'!Q4+'8 Příjmy'!Q5</f>
        <v>0</v>
      </c>
      <c r="R6" s="2165">
        <f>'8 Příjmy'!R4+'8 Příjmy'!R5</f>
        <v>0</v>
      </c>
      <c r="S6" s="2166">
        <f>'8 Příjmy'!S4+'8 Příjmy'!S5</f>
        <v>0</v>
      </c>
      <c r="T6" s="208"/>
      <c r="U6" s="208"/>
      <c r="V6" s="208"/>
      <c r="W6" s="208"/>
      <c r="X6" s="208"/>
      <c r="Y6" s="208"/>
      <c r="Z6" s="208"/>
      <c r="AA6" s="208"/>
      <c r="AB6" s="208"/>
      <c r="AC6" s="208"/>
    </row>
    <row r="7" spans="2:29" s="980" customFormat="1" ht="15" thickBot="1" x14ac:dyDescent="0.3">
      <c r="B7" s="1009" t="s">
        <v>8</v>
      </c>
      <c r="C7" s="1010" t="str">
        <f>IF('0 Úvod'!$M$10="English",Slovnik!D619,Slovnik!C619)</f>
        <v>Provozní dotace</v>
      </c>
      <c r="D7" s="1019">
        <f>SUM(E7:S7,E14:S14)</f>
        <v>864437031.27888775</v>
      </c>
      <c r="E7" s="2167">
        <f>IF((E4+E5-E6)&gt;0,E4+E5-E6,0)</f>
        <v>10397061.243418448</v>
      </c>
      <c r="F7" s="2168">
        <f t="shared" ref="F7:S7" si="1">IF((F4+F5-F6)&gt;0,F4+F5-F6,0)</f>
        <v>10524600.639997479</v>
      </c>
      <c r="G7" s="2168">
        <f t="shared" si="1"/>
        <v>9583568.9312365912</v>
      </c>
      <c r="H7" s="2168">
        <f t="shared" si="1"/>
        <v>9714767.6725554578</v>
      </c>
      <c r="I7" s="2168">
        <f t="shared" si="1"/>
        <v>9848635.2351918146</v>
      </c>
      <c r="J7" s="2168">
        <f t="shared" si="1"/>
        <v>9985231.0570045412</v>
      </c>
      <c r="K7" s="2168">
        <f t="shared" si="1"/>
        <v>10124615.928588733</v>
      </c>
      <c r="L7" s="2168">
        <f t="shared" si="1"/>
        <v>10266852.02421142</v>
      </c>
      <c r="M7" s="2168">
        <f t="shared" si="1"/>
        <v>10412002.933455475</v>
      </c>
      <c r="N7" s="2168">
        <f t="shared" si="1"/>
        <v>10560133.693587987</v>
      </c>
      <c r="O7" s="2168">
        <f t="shared" si="1"/>
        <v>10711310.822669638</v>
      </c>
      <c r="P7" s="2168">
        <f t="shared" si="1"/>
        <v>10865602.353422072</v>
      </c>
      <c r="Q7" s="2168">
        <f t="shared" si="1"/>
        <v>11023077.867870625</v>
      </c>
      <c r="R7" s="2168">
        <f t="shared" si="1"/>
        <v>11183808.532780144</v>
      </c>
      <c r="S7" s="2169">
        <f t="shared" si="1"/>
        <v>11347867.13590209</v>
      </c>
      <c r="T7" s="979"/>
      <c r="U7" s="979"/>
      <c r="V7" s="979"/>
      <c r="W7" s="979"/>
      <c r="X7" s="979"/>
      <c r="Y7" s="979"/>
      <c r="Z7" s="979"/>
      <c r="AA7" s="979"/>
      <c r="AB7" s="979"/>
      <c r="AC7" s="979"/>
    </row>
    <row r="8" spans="2:29" ht="14.25" thickBot="1" x14ac:dyDescent="0.35">
      <c r="C8" s="207"/>
      <c r="D8" s="220"/>
      <c r="E8" s="215"/>
      <c r="F8" s="215"/>
      <c r="G8" s="215"/>
      <c r="H8" s="215"/>
      <c r="I8" s="215"/>
      <c r="J8" s="215"/>
      <c r="K8" s="215"/>
      <c r="L8" s="215"/>
      <c r="M8" s="215"/>
      <c r="N8" s="215"/>
      <c r="O8" s="215"/>
      <c r="P8" s="215"/>
      <c r="Q8" s="215"/>
      <c r="R8" s="215"/>
      <c r="S8" s="215"/>
      <c r="T8" s="208"/>
      <c r="U8" s="208"/>
      <c r="V8" s="208"/>
      <c r="W8" s="208"/>
      <c r="X8" s="208"/>
      <c r="Y8" s="208"/>
      <c r="Z8" s="208"/>
      <c r="AA8" s="208"/>
      <c r="AB8" s="208"/>
      <c r="AC8" s="208"/>
    </row>
    <row r="9" spans="2:29" ht="14.25" x14ac:dyDescent="0.3">
      <c r="B9" s="993" t="s">
        <v>207</v>
      </c>
      <c r="C9" s="209" t="str">
        <f>C2</f>
        <v>S projektem</v>
      </c>
      <c r="D9" s="994"/>
      <c r="E9" s="2321">
        <f>S2+1</f>
        <v>2036</v>
      </c>
      <c r="F9" s="2323">
        <f t="shared" ref="F9:S9" si="2">E9+1</f>
        <v>2037</v>
      </c>
      <c r="G9" s="2323">
        <f t="shared" si="2"/>
        <v>2038</v>
      </c>
      <c r="H9" s="2323">
        <f t="shared" si="2"/>
        <v>2039</v>
      </c>
      <c r="I9" s="2323">
        <f t="shared" si="2"/>
        <v>2040</v>
      </c>
      <c r="J9" s="2323">
        <f t="shared" si="2"/>
        <v>2041</v>
      </c>
      <c r="K9" s="2323">
        <f t="shared" si="2"/>
        <v>2042</v>
      </c>
      <c r="L9" s="2323">
        <f t="shared" si="2"/>
        <v>2043</v>
      </c>
      <c r="M9" s="2323">
        <f t="shared" si="2"/>
        <v>2044</v>
      </c>
      <c r="N9" s="2323">
        <f t="shared" si="2"/>
        <v>2045</v>
      </c>
      <c r="O9" s="2323">
        <f t="shared" si="2"/>
        <v>2046</v>
      </c>
      <c r="P9" s="2323">
        <f>O9+1</f>
        <v>2047</v>
      </c>
      <c r="Q9" s="2323">
        <f t="shared" si="2"/>
        <v>2048</v>
      </c>
      <c r="R9" s="2323">
        <f t="shared" si="2"/>
        <v>2049</v>
      </c>
      <c r="S9" s="2329">
        <f t="shared" si="2"/>
        <v>2050</v>
      </c>
      <c r="T9" s="977"/>
      <c r="U9" s="978"/>
      <c r="V9" s="978"/>
      <c r="W9" s="978"/>
      <c r="X9" s="978"/>
      <c r="Y9" s="978"/>
      <c r="Z9" s="978"/>
      <c r="AA9" s="978"/>
      <c r="AB9" s="978"/>
      <c r="AC9" s="978"/>
    </row>
    <row r="10" spans="2:29" s="207" customFormat="1" ht="15" thickBot="1" x14ac:dyDescent="0.35">
      <c r="B10" s="210" t="s">
        <v>24</v>
      </c>
      <c r="C10" s="211"/>
      <c r="D10" s="363"/>
      <c r="E10" s="2664"/>
      <c r="F10" s="2662"/>
      <c r="G10" s="2662"/>
      <c r="H10" s="2662"/>
      <c r="I10" s="2662"/>
      <c r="J10" s="2662"/>
      <c r="K10" s="2662"/>
      <c r="L10" s="2662"/>
      <c r="M10" s="2662"/>
      <c r="N10" s="2662"/>
      <c r="O10" s="2662"/>
      <c r="P10" s="2662"/>
      <c r="Q10" s="2662"/>
      <c r="R10" s="2662"/>
      <c r="S10" s="2663"/>
      <c r="T10" s="977"/>
      <c r="U10" s="978"/>
      <c r="V10" s="978"/>
      <c r="W10" s="978"/>
      <c r="X10" s="978"/>
      <c r="Y10" s="978"/>
      <c r="Z10" s="978"/>
      <c r="AA10" s="978"/>
      <c r="AB10" s="978"/>
      <c r="AC10" s="978"/>
    </row>
    <row r="11" spans="2:29" s="207" customFormat="1" ht="14.25" x14ac:dyDescent="0.3">
      <c r="B11" s="1006" t="s">
        <v>5</v>
      </c>
      <c r="C11" s="1007" t="str">
        <f>C4</f>
        <v>Náklady na údržbu a opravy</v>
      </c>
      <c r="D11" s="1011"/>
      <c r="E11" s="2161">
        <f>IF('10 Finanční analýza (FRR_C)'!$S$29="ŽELEZNIČNÍ",'3 PN infrastruktury'!E17+'3 PN infrastruktury'!E18,IF('10 Finanční analýza (FRR_C)'!$S$29="OSTATNÍ",'3 PN infrastruktury'!E24+'3 PN infrastruktury'!E25,0))+IF('10 Finanční analýza (FRR_C)'!$S$30="MHD",'4 PN vozidel'!E23,IF('10 Finanční analýza (FRR_C)'!$S$30="MHD (vč. MĚSTSKÝ BUS)",'4 PN vozidel'!E22+'4 PN vozidel'!E23,0))</f>
        <v>4924357.2892133277</v>
      </c>
      <c r="F11" s="2162">
        <f>IF('10 Finanční analýza (FRR_C)'!$S$29="ŽELEZNIČNÍ",'3 PN infrastruktury'!F17+'3 PN infrastruktury'!F18,IF('10 Finanční analýza (FRR_C)'!$S$29="OSTATNÍ",'3 PN infrastruktury'!F24+'3 PN infrastruktury'!F25,0))+IF('10 Finanční analýza (FRR_C)'!$S$30="MHD",'4 PN vozidel'!F23,IF('10 Finanční analýza (FRR_C)'!$S$30="MHD (vč. MĚSTSKÝ BUS)",'4 PN vozidel'!F22+'4 PN vozidel'!F23,0))</f>
        <v>4944363.5700995289</v>
      </c>
      <c r="G11" s="2162">
        <f>IF('10 Finanční analýza (FRR_C)'!$S$29="ŽELEZNIČNÍ",'3 PN infrastruktury'!G17+'3 PN infrastruktury'!G18,IF('10 Finanční analýza (FRR_C)'!$S$29="OSTATNÍ",'3 PN infrastruktury'!G24+'3 PN infrastruktury'!G25,0))+IF('10 Finanční analýza (FRR_C)'!$S$30="MHD",'4 PN vozidel'!G23,IF('10 Finanční analýza (FRR_C)'!$S$30="MHD (vč. MĚSTSKÝ BUS)",'4 PN vozidel'!G22+'4 PN vozidel'!G23,0))</f>
        <v>4964469.882390161</v>
      </c>
      <c r="H11" s="2162">
        <f>IF('10 Finanční analýza (FRR_C)'!$S$29="ŽELEZNIČNÍ",'3 PN infrastruktury'!H17+'3 PN infrastruktury'!H18,IF('10 Finanční analýza (FRR_C)'!$S$29="OSTATNÍ",'3 PN infrastruktury'!H24+'3 PN infrastruktury'!H25,0))+IF('10 Finanční analýza (FRR_C)'!$S$30="MHD",'4 PN vozidel'!H23,IF('10 Finanční analýza (FRR_C)'!$S$30="MHD (vč. MĚSTSKÝ BUS)",'4 PN vozidel'!H22+'4 PN vozidel'!H23,0))</f>
        <v>4984676.7262422452</v>
      </c>
      <c r="I11" s="2162">
        <f>IF('10 Finanční analýza (FRR_C)'!$S$29="ŽELEZNIČNÍ",'3 PN infrastruktury'!I17+'3 PN infrastruktury'!I18,IF('10 Finanční analýza (FRR_C)'!$S$29="OSTATNÍ",'3 PN infrastruktury'!I24+'3 PN infrastruktury'!I25,0))+IF('10 Finanční analýza (FRR_C)'!$S$30="MHD",'4 PN vozidel'!I23,IF('10 Finanční analýza (FRR_C)'!$S$30="MHD (vč. MĚSTSKÝ BUS)",'4 PN vozidel'!I22+'4 PN vozidel'!I23,0))</f>
        <v>5004984.6043135915</v>
      </c>
      <c r="J11" s="2162">
        <f>IF('10 Finanční analýza (FRR_C)'!$S$29="ŽELEZNIČNÍ",'3 PN infrastruktury'!J17+'3 PN infrastruktury'!J18,IF('10 Finanční analýza (FRR_C)'!$S$29="OSTATNÍ",'3 PN infrastruktury'!J24+'3 PN infrastruktury'!J25,0))+IF('10 Finanční analýza (FRR_C)'!$S$30="MHD",'4 PN vozidel'!J23,IF('10 Finanční analýza (FRR_C)'!$S$30="MHD (vč. MĚSTSKÝ BUS)",'4 PN vozidel'!J22+'4 PN vozidel'!J23,0))</f>
        <v>5025394.0217752922</v>
      </c>
      <c r="K11" s="2162">
        <f>IF('10 Finanční analýza (FRR_C)'!$S$29="ŽELEZNIČNÍ",'3 PN infrastruktury'!K17+'3 PN infrastruktury'!K18,IF('10 Finanční analýza (FRR_C)'!$S$29="OSTATNÍ",'3 PN infrastruktury'!K24+'3 PN infrastruktury'!K25,0))+IF('10 Finanční analýza (FRR_C)'!$S$30="MHD",'4 PN vozidel'!K23,IF('10 Finanční analýza (FRR_C)'!$S$30="MHD (vč. MĚSTSKÝ BUS)",'4 PN vozidel'!K22+'4 PN vozidel'!K23,0))</f>
        <v>5045905.4863243029</v>
      </c>
      <c r="L11" s="2162">
        <f>IF('10 Finanční analýza (FRR_C)'!$S$29="ŽELEZNIČNÍ",'3 PN infrastruktury'!L17+'3 PN infrastruktury'!L18,IF('10 Finanční analýza (FRR_C)'!$S$29="OSTATNÍ",'3 PN infrastruktury'!L24+'3 PN infrastruktury'!L25,0))+IF('10 Finanční analýza (FRR_C)'!$S$30="MHD",'4 PN vozidel'!L23,IF('10 Finanční analýza (FRR_C)'!$S$30="MHD (vč. MĚSTSKÝ BUS)",'4 PN vozidel'!L22+'4 PN vozidel'!L23,0))</f>
        <v>12401557.533924721</v>
      </c>
      <c r="M11" s="2162">
        <f>IF('10 Finanční analýza (FRR_C)'!$S$29="ŽELEZNIČNÍ",'3 PN infrastruktury'!M17+'3 PN infrastruktury'!M18,IF('10 Finanční analýza (FRR_C)'!$S$29="OSTATNÍ",'3 PN infrastruktury'!M24+'3 PN infrastruktury'!M25,0))+IF('10 Finanční analýza (FRR_C)'!$S$30="MHD",'4 PN vozidel'!M23,IF('10 Finanční analýza (FRR_C)'!$S$30="MHD (vč. MĚSTSKÝ BUS)",'4 PN vozidel'!M22+'4 PN vozidel'!M23,0))</f>
        <v>5087236.6001771735</v>
      </c>
      <c r="N11" s="2162">
        <f>IF('10 Finanční analýza (FRR_C)'!$S$29="ŽELEZNIČNÍ",'3 PN infrastruktury'!N17+'3 PN infrastruktury'!N18,IF('10 Finanční analýza (FRR_C)'!$S$29="OSTATNÍ",'3 PN infrastruktury'!N24+'3 PN infrastruktury'!N25,0))+IF('10 Finanční analýza (FRR_C)'!$S$30="MHD",'4 PN vozidel'!N23,IF('10 Finanční analýza (FRR_C)'!$S$30="MHD (vč. MĚSTSKÝ BUS)",'4 PN vozidel'!N22+'4 PN vozidel'!N23,0))</f>
        <v>5108057.2776181931</v>
      </c>
      <c r="O11" s="2162">
        <f>IF('10 Finanční analýza (FRR_C)'!$S$29="ŽELEZNIČNÍ",'3 PN infrastruktury'!O17+'3 PN infrastruktury'!O18,IF('10 Finanční analýza (FRR_C)'!$S$29="OSTATNÍ",'3 PN infrastruktury'!O24+'3 PN infrastruktury'!O25,0))+IF('10 Finanční analýza (FRR_C)'!$S$30="MHD",'4 PN vozidel'!O23,IF('10 Finanční analýza (FRR_C)'!$S$30="MHD (vč. MĚSTSKÝ BUS)",'4 PN vozidel'!O22+'4 PN vozidel'!O23,0))</f>
        <v>5128982.0584464185</v>
      </c>
      <c r="P11" s="2162">
        <f>IF('10 Finanční analýza (FRR_C)'!$S$29="ŽELEZNIČNÍ",'3 PN infrastruktury'!P17+'3 PN infrastruktury'!P18,IF('10 Finanční analýza (FRR_C)'!$S$29="OSTATNÍ",'3 PN infrastruktury'!P24+'3 PN infrastruktury'!P25,0))+IF('10 Finanční analýza (FRR_C)'!$S$30="MHD",'4 PN vozidel'!P23,IF('10 Finanční analýza (FRR_C)'!$S$30="MHD (vč. MĚSTSKÝ BUS)",'4 PN vozidel'!P22+'4 PN vozidel'!P23,0))</f>
        <v>5150011.4631787846</v>
      </c>
      <c r="Q11" s="2162">
        <f>IF('10 Finanční analýza (FRR_C)'!$S$29="ŽELEZNIČNÍ",'3 PN infrastruktury'!Q17+'3 PN infrastruktury'!Q18,IF('10 Finanční analýza (FRR_C)'!$S$29="OSTATNÍ",'3 PN infrastruktury'!Q24+'3 PN infrastruktury'!Q25,0))+IF('10 Finanční analýza (FRR_C)'!$S$30="MHD",'4 PN vozidel'!Q23,IF('10 Finanční analýza (FRR_C)'!$S$30="MHD (vč. MĚSTSKÝ BUS)",'4 PN vozidel'!Q22+'4 PN vozidel'!Q23,0))</f>
        <v>374954415.22064823</v>
      </c>
      <c r="R11" s="2162">
        <f>IF('10 Finanční analýza (FRR_C)'!$S$29="ŽELEZNIČNÍ",'3 PN infrastruktury'!R17+'3 PN infrastruktury'!R18,IF('10 Finanční analýza (FRR_C)'!$S$29="OSTATNÍ",'3 PN infrastruktury'!R24+'3 PN infrastruktury'!R25,0))+IF('10 Finanční analýza (FRR_C)'!$S$30="MHD",'4 PN vozidel'!R23,IF('10 Finanční analýza (FRR_C)'!$S$30="MHD (vč. MĚSTSKÝ BUS)",'4 PN vozidel'!R22+'4 PN vozidel'!R23,0))</f>
        <v>5192386.2394496212</v>
      </c>
      <c r="S11" s="2163">
        <f>IF('10 Finanční analýza (FRR_C)'!$S$29="ŽELEZNIČNÍ",'3 PN infrastruktury'!S17+'3 PN infrastruktury'!S18,IF('10 Finanční analýza (FRR_C)'!$S$29="OSTATNÍ",'3 PN infrastruktury'!S24+'3 PN infrastruktury'!S25,0))+IF('10 Finanční analýza (FRR_C)'!$S$30="MHD",'4 PN vozidel'!S23,IF('10 Finanční analýza (FRR_C)'!$S$30="MHD (vč. MĚSTSKÝ BUS)",'4 PN vozidel'!S22+'4 PN vozidel'!S23,0))</f>
        <v>143572198.4618797</v>
      </c>
      <c r="T11" s="208"/>
      <c r="U11" s="208"/>
      <c r="V11" s="208"/>
      <c r="W11" s="208"/>
      <c r="X11" s="208"/>
      <c r="Y11" s="208"/>
      <c r="Z11" s="208"/>
      <c r="AA11" s="208"/>
      <c r="AB11" s="208"/>
      <c r="AC11" s="208"/>
    </row>
    <row r="12" spans="2:29" ht="14.25" x14ac:dyDescent="0.3">
      <c r="B12" s="1008" t="s">
        <v>6</v>
      </c>
      <c r="C12" s="254" t="str">
        <f t="shared" ref="C12:C14" si="3">C5</f>
        <v>Náklady na řízení provozu</v>
      </c>
      <c r="D12" s="290"/>
      <c r="E12" s="2164">
        <f>'3 PN infrastruktury'!E19</f>
        <v>6590970.8338381276</v>
      </c>
      <c r="F12" s="2165">
        <f>'3 PN infrastruktury'!F19</f>
        <v>6741904.0659330208</v>
      </c>
      <c r="G12" s="2165">
        <f>'3 PN infrastruktury'!G19</f>
        <v>6896293.6690428862</v>
      </c>
      <c r="H12" s="2165">
        <f>'3 PN infrastruktury'!H19</f>
        <v>7054218.7940639677</v>
      </c>
      <c r="I12" s="2165">
        <f>'3 PN infrastruktury'!I19</f>
        <v>7215760.4044480333</v>
      </c>
      <c r="J12" s="2165">
        <f>'3 PN infrastruktury'!J19</f>
        <v>7381001.3177098921</v>
      </c>
      <c r="K12" s="2165">
        <f>'3 PN infrastruktury'!K19</f>
        <v>7550026.2478854479</v>
      </c>
      <c r="L12" s="2165">
        <f>'3 PN infrastruktury'!L19</f>
        <v>7722921.8489620239</v>
      </c>
      <c r="M12" s="2165">
        <f>'3 PN infrastruktury'!M19</f>
        <v>7899776.7593032531</v>
      </c>
      <c r="N12" s="2165">
        <f>'3 PN infrastruktury'!N19</f>
        <v>8080681.6470912965</v>
      </c>
      <c r="O12" s="2165">
        <f>'3 PN infrastruktury'!O19</f>
        <v>8265729.2568096872</v>
      </c>
      <c r="P12" s="2165">
        <f>'3 PN infrastruktury'!P19</f>
        <v>8455014.4567906279</v>
      </c>
      <c r="Q12" s="2165">
        <f>'3 PN infrastruktury'!Q19</f>
        <v>8648634.2878511343</v>
      </c>
      <c r="R12" s="2165">
        <f>'3 PN infrastruktury'!R19</f>
        <v>8846688.0130429249</v>
      </c>
      <c r="S12" s="2166">
        <f>'3 PN infrastruktury'!S19</f>
        <v>9049277.1685416065</v>
      </c>
      <c r="T12" s="208"/>
      <c r="U12" s="208"/>
      <c r="V12" s="208"/>
      <c r="W12" s="208"/>
      <c r="X12" s="208"/>
      <c r="Y12" s="208"/>
      <c r="Z12" s="208"/>
      <c r="AA12" s="208"/>
      <c r="AB12" s="208"/>
      <c r="AC12" s="208"/>
    </row>
    <row r="13" spans="2:29" ht="14.25" x14ac:dyDescent="0.3">
      <c r="B13" s="1008" t="s">
        <v>7</v>
      </c>
      <c r="C13" s="59" t="str">
        <f t="shared" si="3"/>
        <v>Příjmy z poplatků za dopravní cestu (případně jízdné)*</v>
      </c>
      <c r="D13" s="290"/>
      <c r="E13" s="2164">
        <f>'8 Příjmy'!E11+'8 Příjmy'!E12</f>
        <v>0</v>
      </c>
      <c r="F13" s="2165">
        <f>'8 Příjmy'!F11+'8 Příjmy'!F12</f>
        <v>0</v>
      </c>
      <c r="G13" s="2165">
        <f>'8 Příjmy'!G11+'8 Příjmy'!G12</f>
        <v>0</v>
      </c>
      <c r="H13" s="2165">
        <f>'8 Příjmy'!H11+'8 Příjmy'!H12</f>
        <v>0</v>
      </c>
      <c r="I13" s="2165">
        <f>'8 Příjmy'!I11+'8 Příjmy'!I12</f>
        <v>0</v>
      </c>
      <c r="J13" s="2165">
        <f>'8 Příjmy'!J11+'8 Příjmy'!J12</f>
        <v>0</v>
      </c>
      <c r="K13" s="2165">
        <f>'8 Příjmy'!K11+'8 Příjmy'!K12</f>
        <v>0</v>
      </c>
      <c r="L13" s="2165">
        <f>'8 Příjmy'!L11+'8 Příjmy'!L12</f>
        <v>0</v>
      </c>
      <c r="M13" s="2165">
        <f>'8 Příjmy'!M11+'8 Příjmy'!M12</f>
        <v>0</v>
      </c>
      <c r="N13" s="2165">
        <f>'8 Příjmy'!N11+'8 Příjmy'!N12</f>
        <v>0</v>
      </c>
      <c r="O13" s="2165">
        <f>'8 Příjmy'!O11+'8 Příjmy'!O12</f>
        <v>0</v>
      </c>
      <c r="P13" s="2165">
        <f>'8 Příjmy'!P11+'8 Příjmy'!P12</f>
        <v>0</v>
      </c>
      <c r="Q13" s="2165">
        <f>'8 Příjmy'!Q11+'8 Příjmy'!Q12</f>
        <v>0</v>
      </c>
      <c r="R13" s="2165">
        <f>'8 Příjmy'!R11+'8 Příjmy'!R12</f>
        <v>0</v>
      </c>
      <c r="S13" s="2166">
        <f>'8 Příjmy'!S11+'8 Příjmy'!S12</f>
        <v>0</v>
      </c>
      <c r="T13" s="208"/>
      <c r="U13" s="208"/>
      <c r="V13" s="208"/>
      <c r="W13" s="208"/>
      <c r="X13" s="208"/>
      <c r="Y13" s="208"/>
      <c r="Z13" s="208"/>
      <c r="AA13" s="208"/>
      <c r="AB13" s="208"/>
      <c r="AC13" s="208"/>
    </row>
    <row r="14" spans="2:29" ht="15" thickBot="1" x14ac:dyDescent="0.35">
      <c r="B14" s="1009" t="s">
        <v>8</v>
      </c>
      <c r="C14" s="1010" t="str">
        <f t="shared" si="3"/>
        <v>Provozní dotace</v>
      </c>
      <c r="D14" s="1012"/>
      <c r="E14" s="2167">
        <f>IF((E11+E12-E13)&gt;0,E11+E12-E13,0)</f>
        <v>11515328.123051455</v>
      </c>
      <c r="F14" s="2168">
        <f t="shared" ref="F14:S14" si="4">IF((F11+F12-F13)&gt;0,F11+F12-F13,0)</f>
        <v>11686267.63603255</v>
      </c>
      <c r="G14" s="2168">
        <f t="shared" si="4"/>
        <v>11860763.551433047</v>
      </c>
      <c r="H14" s="2168">
        <f t="shared" si="4"/>
        <v>12038895.520306213</v>
      </c>
      <c r="I14" s="2168">
        <f t="shared" si="4"/>
        <v>12220745.008761626</v>
      </c>
      <c r="J14" s="2168">
        <f t="shared" si="4"/>
        <v>12406395.339485183</v>
      </c>
      <c r="K14" s="2168">
        <f t="shared" si="4"/>
        <v>12595931.73420975</v>
      </c>
      <c r="L14" s="2168">
        <f t="shared" si="4"/>
        <v>20124479.382886745</v>
      </c>
      <c r="M14" s="2168">
        <f t="shared" si="4"/>
        <v>12987013.359480426</v>
      </c>
      <c r="N14" s="2168">
        <f t="shared" si="4"/>
        <v>13188738.92470949</v>
      </c>
      <c r="O14" s="2168">
        <f t="shared" si="4"/>
        <v>13394711.315256106</v>
      </c>
      <c r="P14" s="2168">
        <f t="shared" si="4"/>
        <v>13605025.919969413</v>
      </c>
      <c r="Q14" s="2168">
        <f t="shared" si="4"/>
        <v>383603049.50849938</v>
      </c>
      <c r="R14" s="2168">
        <f t="shared" si="4"/>
        <v>14039074.252492547</v>
      </c>
      <c r="S14" s="2169">
        <f t="shared" si="4"/>
        <v>152621475.63042131</v>
      </c>
      <c r="T14" s="979"/>
      <c r="U14" s="979"/>
      <c r="V14" s="979"/>
      <c r="W14" s="979"/>
      <c r="X14" s="979"/>
      <c r="Y14" s="979"/>
      <c r="Z14" s="979"/>
      <c r="AA14" s="979"/>
      <c r="AB14" s="979"/>
      <c r="AC14" s="979"/>
    </row>
    <row r="15" spans="2:29" ht="14.25" x14ac:dyDescent="0.3">
      <c r="B15" s="981"/>
      <c r="C15" s="207"/>
      <c r="D15" s="208"/>
      <c r="E15" s="229"/>
      <c r="F15" s="229"/>
      <c r="G15" s="229"/>
      <c r="H15" s="229"/>
      <c r="I15" s="229"/>
      <c r="J15" s="229"/>
      <c r="K15" s="229"/>
      <c r="L15" s="229"/>
      <c r="M15" s="229"/>
      <c r="N15" s="229"/>
      <c r="O15" s="229"/>
      <c r="P15" s="229"/>
      <c r="Q15" s="229"/>
      <c r="R15" s="229"/>
      <c r="S15" s="229"/>
      <c r="T15" s="214"/>
      <c r="U15" s="214"/>
      <c r="V15" s="214"/>
      <c r="W15" s="214"/>
      <c r="X15" s="214"/>
      <c r="Y15" s="214"/>
      <c r="Z15" s="214"/>
      <c r="AA15" s="214"/>
      <c r="AB15" s="214"/>
      <c r="AC15" s="214"/>
    </row>
    <row r="16" spans="2:29" ht="14.25" thickBot="1" x14ac:dyDescent="0.35">
      <c r="C16" s="207"/>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row>
    <row r="17" spans="2:43" ht="14.25" x14ac:dyDescent="0.3">
      <c r="B17" s="982" t="s">
        <v>208</v>
      </c>
      <c r="C17" s="221" t="str">
        <f>IF('0 Úvod'!$M$10="English",Slovnik!$D$621,Slovnik!$C$621)</f>
        <v>Bez projektu</v>
      </c>
      <c r="D17" s="983"/>
      <c r="E17" s="2325">
        <f>E2</f>
        <v>2021</v>
      </c>
      <c r="F17" s="2325">
        <f t="shared" ref="F17:S17" si="5">E17+1</f>
        <v>2022</v>
      </c>
      <c r="G17" s="2325">
        <f t="shared" si="5"/>
        <v>2023</v>
      </c>
      <c r="H17" s="2325">
        <f t="shared" si="5"/>
        <v>2024</v>
      </c>
      <c r="I17" s="2325">
        <f t="shared" si="5"/>
        <v>2025</v>
      </c>
      <c r="J17" s="2325">
        <f t="shared" si="5"/>
        <v>2026</v>
      </c>
      <c r="K17" s="2325">
        <f t="shared" si="5"/>
        <v>2027</v>
      </c>
      <c r="L17" s="2325">
        <f t="shared" si="5"/>
        <v>2028</v>
      </c>
      <c r="M17" s="2325">
        <f t="shared" si="5"/>
        <v>2029</v>
      </c>
      <c r="N17" s="2325">
        <f t="shared" si="5"/>
        <v>2030</v>
      </c>
      <c r="O17" s="2325">
        <f t="shared" si="5"/>
        <v>2031</v>
      </c>
      <c r="P17" s="2325">
        <f>O17+1</f>
        <v>2032</v>
      </c>
      <c r="Q17" s="2325">
        <f t="shared" si="5"/>
        <v>2033</v>
      </c>
      <c r="R17" s="2325">
        <f t="shared" si="5"/>
        <v>2034</v>
      </c>
      <c r="S17" s="2315">
        <f t="shared" si="5"/>
        <v>2035</v>
      </c>
      <c r="T17" s="977"/>
      <c r="U17" s="978"/>
      <c r="V17" s="978"/>
      <c r="W17" s="978"/>
      <c r="X17" s="978"/>
      <c r="Y17" s="978"/>
      <c r="Z17" s="978"/>
      <c r="AA17" s="978"/>
      <c r="AB17" s="978"/>
      <c r="AC17" s="978"/>
    </row>
    <row r="18" spans="2:43" ht="15" thickBot="1" x14ac:dyDescent="0.35">
      <c r="B18" s="222" t="s">
        <v>23</v>
      </c>
      <c r="C18" s="223"/>
      <c r="D18" s="224" t="str">
        <f>D3</f>
        <v>Celkem</v>
      </c>
      <c r="E18" s="2659"/>
      <c r="F18" s="2659"/>
      <c r="G18" s="2659"/>
      <c r="H18" s="2659"/>
      <c r="I18" s="2659"/>
      <c r="J18" s="2659"/>
      <c r="K18" s="2659"/>
      <c r="L18" s="2659"/>
      <c r="M18" s="2659"/>
      <c r="N18" s="2659"/>
      <c r="O18" s="2659"/>
      <c r="P18" s="2659"/>
      <c r="Q18" s="2659"/>
      <c r="R18" s="2659"/>
      <c r="S18" s="2660"/>
      <c r="T18" s="977"/>
      <c r="U18" s="978"/>
      <c r="V18" s="978"/>
      <c r="W18" s="978"/>
      <c r="X18" s="978"/>
      <c r="Y18" s="978"/>
      <c r="Z18" s="978"/>
      <c r="AA18" s="978"/>
      <c r="AB18" s="978"/>
      <c r="AC18" s="978"/>
    </row>
    <row r="19" spans="2:43" s="207" customFormat="1" ht="14.25" x14ac:dyDescent="0.3">
      <c r="B19" s="1013" t="s">
        <v>9</v>
      </c>
      <c r="C19" s="1007" t="str">
        <f>C11</f>
        <v>Náklady na údržbu a opravy</v>
      </c>
      <c r="D19" s="378">
        <f>SUM(E19:S19,E26:S26)</f>
        <v>815273180.08266973</v>
      </c>
      <c r="E19" s="2161">
        <f>IF('10 Finanční analýza (FRR_C)'!$S$29="ŽELEZNIČNÍ",'3 PN infrastruktury'!E31+'3 PN infrastruktury'!E32,IF('10 Finanční analýza (FRR_C)'!$S$29="OSTATNÍ",'3 PN infrastruktury'!E38+'3 PN infrastruktury'!E39,0))+IF('10 Finanční analýza (FRR_C)'!$S$30="MHD (METRO+TRAM)",'4 PN vozidel'!E35+'4 PN vozidel'!E36,IF('10 Finanční analýza (FRR_C)'!$S$30="MHD (METRO+TRAM) A SILNIČNÍ (BUS)",'4 PN vozidel'!E35+'4 PN vozidel'!E36+'4 PN vozidel'!E31,0))</f>
        <v>5704048.7464758754</v>
      </c>
      <c r="F19" s="2162">
        <f>IF('10 Finanční analýza (FRR_C)'!$S$29="ŽELEZNIČNÍ",'3 PN infrastruktury'!F31+'3 PN infrastruktury'!F32,IF('10 Finanční analýza (FRR_C)'!$S$29="OSTATNÍ",'3 PN infrastruktury'!F38+'3 PN infrastruktury'!F39,0))+IF('10 Finanční analýza (FRR_C)'!$S$30="MHD (METRO+TRAM)",'4 PN vozidel'!F35+'4 PN vozidel'!F36,IF('10 Finanční analýza (FRR_C)'!$S$30="MHD (METRO+TRAM) A SILNIČNÍ (BUS)",'4 PN vozidel'!F35+'4 PN vozidel'!F36+'4 PN vozidel'!F31,0))</f>
        <v>5724118.1568749212</v>
      </c>
      <c r="G19" s="2162">
        <f>IF('10 Finanční analýza (FRR_C)'!$S$29="ŽELEZNIČNÍ",'3 PN infrastruktury'!G31+'3 PN infrastruktury'!G32,IF('10 Finanční analýza (FRR_C)'!$S$29="OSTATNÍ",'3 PN infrastruktury'!G38+'3 PN infrastruktury'!G39,0))+IF('10 Finanční analýza (FRR_C)'!$S$30="MHD (METRO+TRAM)",'4 PN vozidel'!G35+'4 PN vozidel'!G36,IF('10 Finanční analýza (FRR_C)'!$S$30="MHD (METRO+TRAM) A SILNIČNÍ (BUS)",'4 PN vozidel'!G35+'4 PN vozidel'!G36+'4 PN vozidel'!G31,0))</f>
        <v>258344287.91432595</v>
      </c>
      <c r="H19" s="2162">
        <f>IF('10 Finanční analýza (FRR_C)'!$S$29="ŽELEZNIČNÍ",'3 PN infrastruktury'!H31+'3 PN infrastruktury'!H32,IF('10 Finanční analýza (FRR_C)'!$S$29="OSTATNÍ",'3 PN infrastruktury'!H38+'3 PN infrastruktury'!H39,0))+IF('10 Finanční analýza (FRR_C)'!$S$30="MHD (METRO+TRAM)",'4 PN vozidel'!H35+'4 PN vozidel'!H36,IF('10 Finanční analýza (FRR_C)'!$S$30="MHD (METRO+TRAM) A SILNIČNÍ (BUS)",'4 PN vozidel'!H35+'4 PN vozidel'!H36+'4 PN vozidel'!H31,0))</f>
        <v>5764558.5205642572</v>
      </c>
      <c r="I19" s="2162">
        <f>IF('10 Finanční analýza (FRR_C)'!$S$29="ŽELEZNIČNÍ",'3 PN infrastruktury'!I31+'3 PN infrastruktury'!I32,IF('10 Finanční analýza (FRR_C)'!$S$29="OSTATNÍ",'3 PN infrastruktury'!I38+'3 PN infrastruktury'!I39,0))+IF('10 Finanční analýza (FRR_C)'!$S$30="MHD (METRO+TRAM)",'4 PN vozidel'!I35+'4 PN vozidel'!I36,IF('10 Finanční analýza (FRR_C)'!$S$30="MHD (METRO+TRAM) A SILNIČNÍ (BUS)",'4 PN vozidel'!I35+'4 PN vozidel'!I36+'4 PN vozidel'!I31,0))</f>
        <v>5784930.4798337454</v>
      </c>
      <c r="J19" s="2162">
        <f>IF('10 Finanční analýza (FRR_C)'!$S$29="ŽELEZNIČNÍ",'3 PN infrastruktury'!J31+'3 PN infrastruktury'!J32,IF('10 Finanční analýza (FRR_C)'!$S$29="OSTATNÍ",'3 PN infrastruktury'!J38+'3 PN infrastruktury'!J39,0))+IF('10 Finanční analýza (FRR_C)'!$S$30="MHD (METRO+TRAM)",'4 PN vozidel'!J35+'4 PN vozidel'!J36,IF('10 Finanční analýza (FRR_C)'!$S$30="MHD (METRO+TRAM) A SILNIČNÍ (BUS)",'4 PN vozidel'!J35+'4 PN vozidel'!J36+'4 PN vozidel'!J31,0))</f>
        <v>5805404.2988995798</v>
      </c>
      <c r="K19" s="2162">
        <f>IF('10 Finanční analýza (FRR_C)'!$S$29="ŽELEZNIČNÍ",'3 PN infrastruktury'!K31+'3 PN infrastruktury'!K32,IF('10 Finanční analýza (FRR_C)'!$S$29="OSTATNÍ",'3 PN infrastruktury'!K38+'3 PN infrastruktury'!K39,0))+IF('10 Finanční analýza (FRR_C)'!$S$30="MHD (METRO+TRAM)",'4 PN vozidel'!K35+'4 PN vozidel'!K36,IF('10 Finanční analýza (FRR_C)'!$S$30="MHD (METRO+TRAM) A SILNIČNÍ (BUS)",'4 PN vozidel'!K35+'4 PN vozidel'!K36+'4 PN vozidel'!K31,0))</f>
        <v>5825980.4870607443</v>
      </c>
      <c r="L19" s="2162">
        <f>IF('10 Finanční analýza (FRR_C)'!$S$29="ŽELEZNIČNÍ",'3 PN infrastruktury'!L31+'3 PN infrastruktury'!L32,IF('10 Finanční analýza (FRR_C)'!$S$29="OSTATNÍ",'3 PN infrastruktury'!L38+'3 PN infrastruktury'!L39,0))+IF('10 Finanční analýza (FRR_C)'!$S$30="MHD (METRO+TRAM)",'4 PN vozidel'!L35+'4 PN vozidel'!L36,IF('10 Finanční analýza (FRR_C)'!$S$30="MHD (METRO+TRAM) A SILNIČNÍ (BUS)",'4 PN vozidel'!L35+'4 PN vozidel'!L36+'4 PN vozidel'!L31,0))</f>
        <v>5846659.556162714</v>
      </c>
      <c r="M19" s="2162">
        <f>IF('10 Finanční analýza (FRR_C)'!$S$29="ŽELEZNIČNÍ",'3 PN infrastruktury'!M31+'3 PN infrastruktury'!M32,IF('10 Finanční analýza (FRR_C)'!$S$29="OSTATNÍ",'3 PN infrastruktury'!M38+'3 PN infrastruktury'!M39,0))+IF('10 Finanční analýza (FRR_C)'!$S$30="MHD (METRO+TRAM)",'4 PN vozidel'!M35+'4 PN vozidel'!M36,IF('10 Finanční analýza (FRR_C)'!$S$30="MHD (METRO+TRAM) A SILNIČNÍ (BUS)",'4 PN vozidel'!M35+'4 PN vozidel'!M36+'4 PN vozidel'!M31,0))</f>
        <v>135667442.02061018</v>
      </c>
      <c r="N19" s="2162">
        <f>IF('10 Finanční analýza (FRR_C)'!$S$29="ŽELEZNIČNÍ",'3 PN infrastruktury'!N31+'3 PN infrastruktury'!N32,IF('10 Finanční analýza (FRR_C)'!$S$29="OSTATNÍ",'3 PN infrastruktury'!N38+'3 PN infrastruktury'!N39,0))+IF('10 Finanční analýza (FRR_C)'!$S$30="MHD (METRO+TRAM)",'4 PN vozidel'!N35+'4 PN vozidel'!N36,IF('10 Finanční analýza (FRR_C)'!$S$30="MHD (METRO+TRAM) A SILNIČNÍ (BUS)",'4 PN vozidel'!N35+'4 PN vozidel'!N36+'4 PN vozidel'!N31,0))</f>
        <v>5888328.3973799106</v>
      </c>
      <c r="O19" s="2162">
        <f>IF('10 Finanční analýza (FRR_C)'!$S$29="ŽELEZNIČNÍ",'3 PN infrastruktury'!O31+'3 PN infrastruktury'!O32,IF('10 Finanční analýza (FRR_C)'!$S$29="OSTATNÍ",'3 PN infrastruktury'!O38+'3 PN infrastruktury'!O39,0))+IF('10 Finanční analýza (FRR_C)'!$S$30="MHD (METRO+TRAM)",'4 PN vozidel'!O35+'4 PN vozidel'!O36,IF('10 Finanční analýza (FRR_C)'!$S$30="MHD (METRO+TRAM) A SILNIČNÍ (BUS)",'4 PN vozidel'!O35+'4 PN vozidel'!O36+'4 PN vozidel'!O31,0))</f>
        <v>5909319.2060334766</v>
      </c>
      <c r="P19" s="2162">
        <f>IF('10 Finanční analýza (FRR_C)'!$S$29="ŽELEZNIČNÍ",'3 PN infrastruktury'!P31+'3 PN infrastruktury'!P32,IF('10 Finanční analýza (FRR_C)'!$S$29="OSTATNÍ",'3 PN infrastruktury'!P38+'3 PN infrastruktury'!P39,0))+IF('10 Finanční analýza (FRR_C)'!$S$30="MHD (METRO+TRAM)",'4 PN vozidel'!P35+'4 PN vozidel'!P36,IF('10 Finanční analýza (FRR_C)'!$S$30="MHD (METRO+TRAM) A SILNIČNÍ (BUS)",'4 PN vozidel'!P35+'4 PN vozidel'!P36+'4 PN vozidel'!P31,0))</f>
        <v>5930414.9687303109</v>
      </c>
      <c r="Q19" s="2162">
        <f>IF('10 Finanční analýza (FRR_C)'!$S$29="ŽELEZNIČNÍ",'3 PN infrastruktury'!Q31+'3 PN infrastruktury'!Q32,IF('10 Finanční analýza (FRR_C)'!$S$29="OSTATNÍ",'3 PN infrastruktury'!Q38+'3 PN infrastruktury'!Q39,0))+IF('10 Finanční analýza (FRR_C)'!$S$30="MHD (METRO+TRAM)",'4 PN vozidel'!Q35+'4 PN vozidel'!Q36,IF('10 Finanční analýza (FRR_C)'!$S$30="MHD (METRO+TRAM) A SILNIČNÍ (BUS)",'4 PN vozidel'!Q35+'4 PN vozidel'!Q36+'4 PN vozidel'!Q31,0))</f>
        <v>5951616.2102406276</v>
      </c>
      <c r="R19" s="2162">
        <f>IF('10 Finanční analýza (FRR_C)'!$S$29="ŽELEZNIČNÍ",'3 PN infrastruktury'!R31+'3 PN infrastruktury'!R32,IF('10 Finanční analýza (FRR_C)'!$S$29="OSTATNÍ",'3 PN infrastruktury'!R38+'3 PN infrastruktury'!R39,0))+IF('10 Finanční analýza (FRR_C)'!$S$30="MHD (METRO+TRAM)",'4 PN vozidel'!R35+'4 PN vozidel'!R36,IF('10 Finanční analýza (FRR_C)'!$S$30="MHD (METRO+TRAM) A SILNIČNÍ (BUS)",'4 PN vozidel'!R35+'4 PN vozidel'!R36+'4 PN vozidel'!R31,0))</f>
        <v>5972923.4579584971</v>
      </c>
      <c r="S19" s="2163">
        <f>IF('10 Finanční analýza (FRR_C)'!$S$29="ŽELEZNIČNÍ",'3 PN infrastruktury'!S31+'3 PN infrastruktury'!S32,IF('10 Finanční analýza (FRR_C)'!$S$29="OSTATNÍ",'3 PN infrastruktury'!S38+'3 PN infrastruktury'!S39,0))+IF('10 Finanční analýza (FRR_C)'!$S$30="MHD (METRO+TRAM)",'4 PN vozidel'!S35+'4 PN vozidel'!S36,IF('10 Finanční analýza (FRR_C)'!$S$30="MHD (METRO+TRAM) A SILNIČNÍ (BUS)",'4 PN vozidel'!S35+'4 PN vozidel'!S36+'4 PN vozidel'!S31,0))</f>
        <v>5994337.2419149559</v>
      </c>
      <c r="T19" s="208"/>
      <c r="U19" s="208"/>
      <c r="V19" s="208"/>
      <c r="W19" s="208"/>
      <c r="X19" s="208"/>
      <c r="Y19" s="208"/>
      <c r="Z19" s="208"/>
      <c r="AA19" s="208"/>
      <c r="AB19" s="208"/>
      <c r="AC19" s="208"/>
      <c r="AD19" s="25"/>
      <c r="AE19" s="25"/>
      <c r="AF19" s="25"/>
      <c r="AG19" s="25"/>
      <c r="AH19" s="25"/>
      <c r="AI19" s="25"/>
      <c r="AJ19" s="25"/>
      <c r="AK19" s="25"/>
      <c r="AL19" s="25"/>
      <c r="AM19" s="25"/>
      <c r="AN19" s="25"/>
      <c r="AO19" s="25"/>
      <c r="AP19" s="25"/>
      <c r="AQ19" s="25"/>
    </row>
    <row r="20" spans="2:43" ht="14.25" x14ac:dyDescent="0.3">
      <c r="B20" s="1008" t="s">
        <v>4</v>
      </c>
      <c r="C20" s="254" t="str">
        <f t="shared" ref="C20:C22" si="6">C12</f>
        <v>Náklady na řízení provozu</v>
      </c>
      <c r="D20" s="379">
        <f>SUM(E20:S20,E27:S27)</f>
        <v>199279175.49164414</v>
      </c>
      <c r="E20" s="2164">
        <f>'3 PN infrastruktury'!E33</f>
        <v>4693012.4969425723</v>
      </c>
      <c r="F20" s="2165">
        <f>'3 PN infrastruktury'!F33</f>
        <v>4800482.4831225565</v>
      </c>
      <c r="G20" s="2165">
        <f>'3 PN infrastruktury'!G33</f>
        <v>4910413.5319860633</v>
      </c>
      <c r="H20" s="2165">
        <f>'3 PN infrastruktury'!H33</f>
        <v>5022862.0018685432</v>
      </c>
      <c r="I20" s="2165">
        <f>'3 PN infrastruktury'!I33</f>
        <v>5137885.5417113323</v>
      </c>
      <c r="J20" s="2165">
        <f>'3 PN infrastruktury'!J33</f>
        <v>5255543.1206165217</v>
      </c>
      <c r="K20" s="2165">
        <f>'3 PN infrastruktury'!K33</f>
        <v>5375895.0580786392</v>
      </c>
      <c r="L20" s="2165">
        <f>'3 PN infrastruktury'!L33</f>
        <v>5499003.0549086407</v>
      </c>
      <c r="M20" s="2165">
        <f>'3 PN infrastruktury'!M33</f>
        <v>5624930.2248660484</v>
      </c>
      <c r="N20" s="2165">
        <f>'3 PN infrastruktury'!N33</f>
        <v>5753741.1270154798</v>
      </c>
      <c r="O20" s="2165">
        <f>'3 PN infrastruktury'!O33</f>
        <v>5885501.7988241343</v>
      </c>
      <c r="P20" s="2165">
        <f>'3 PN infrastruktury'!P33</f>
        <v>6020279.7900172062</v>
      </c>
      <c r="Q20" s="2165">
        <f>'3 PN infrastruktury'!Q33</f>
        <v>6158144.1972086001</v>
      </c>
      <c r="R20" s="2165">
        <f>'3 PN infrastruktury'!R33</f>
        <v>6299165.6993246758</v>
      </c>
      <c r="S20" s="2166">
        <f>'3 PN infrastruktury'!S33</f>
        <v>6443416.5938392105</v>
      </c>
      <c r="T20" s="208"/>
      <c r="U20" s="208"/>
      <c r="V20" s="208"/>
      <c r="W20" s="208"/>
      <c r="X20" s="208"/>
      <c r="Y20" s="208"/>
      <c r="Z20" s="208"/>
      <c r="AA20" s="208"/>
      <c r="AB20" s="208"/>
      <c r="AC20" s="208"/>
    </row>
    <row r="21" spans="2:43" ht="12" customHeight="1" x14ac:dyDescent="0.3">
      <c r="B21" s="1008" t="s">
        <v>10</v>
      </c>
      <c r="C21" s="59" t="str">
        <f t="shared" si="6"/>
        <v>Příjmy z poplatků za dopravní cestu (případně jízdné)*</v>
      </c>
      <c r="D21" s="379">
        <f>SUM(E21:S21,E28:S28)</f>
        <v>0</v>
      </c>
      <c r="E21" s="2164">
        <f>'8 Příjmy'!E19+'8 Příjmy'!E20</f>
        <v>0</v>
      </c>
      <c r="F21" s="2165">
        <f>'8 Příjmy'!F19+'8 Příjmy'!F20</f>
        <v>0</v>
      </c>
      <c r="G21" s="2165">
        <f>'8 Příjmy'!G19+'8 Příjmy'!G20</f>
        <v>0</v>
      </c>
      <c r="H21" s="2165">
        <f>'8 Příjmy'!H19+'8 Příjmy'!H20</f>
        <v>0</v>
      </c>
      <c r="I21" s="2165">
        <f>'8 Příjmy'!I19+'8 Příjmy'!I20</f>
        <v>0</v>
      </c>
      <c r="J21" s="2165">
        <f>'8 Příjmy'!J19+'8 Příjmy'!J20</f>
        <v>0</v>
      </c>
      <c r="K21" s="2165">
        <f>'8 Příjmy'!K19+'8 Příjmy'!K20</f>
        <v>0</v>
      </c>
      <c r="L21" s="2165">
        <f>'8 Příjmy'!L19+'8 Příjmy'!L20</f>
        <v>0</v>
      </c>
      <c r="M21" s="2165">
        <f>'8 Příjmy'!M19+'8 Příjmy'!M20</f>
        <v>0</v>
      </c>
      <c r="N21" s="2165">
        <f>'8 Příjmy'!N19+'8 Příjmy'!N20</f>
        <v>0</v>
      </c>
      <c r="O21" s="2165">
        <f>'8 Příjmy'!O19+'8 Příjmy'!O20</f>
        <v>0</v>
      </c>
      <c r="P21" s="2165">
        <f>'8 Příjmy'!P19+'8 Příjmy'!P20</f>
        <v>0</v>
      </c>
      <c r="Q21" s="2165">
        <f>'8 Příjmy'!Q19+'8 Příjmy'!Q20</f>
        <v>0</v>
      </c>
      <c r="R21" s="2165">
        <f>'8 Příjmy'!R19+'8 Příjmy'!R20</f>
        <v>0</v>
      </c>
      <c r="S21" s="2166">
        <f>'8 Příjmy'!S19+'8 Příjmy'!S20</f>
        <v>0</v>
      </c>
      <c r="T21" s="208"/>
      <c r="U21" s="208"/>
      <c r="V21" s="208"/>
      <c r="W21" s="208"/>
      <c r="X21" s="208"/>
      <c r="Y21" s="208"/>
      <c r="Z21" s="208"/>
      <c r="AA21" s="208"/>
      <c r="AB21" s="208"/>
      <c r="AC21" s="208"/>
    </row>
    <row r="22" spans="2:43" ht="15" thickBot="1" x14ac:dyDescent="0.35">
      <c r="B22" s="1009" t="s">
        <v>11</v>
      </c>
      <c r="C22" s="1010" t="str">
        <f t="shared" si="6"/>
        <v>Provozní dotace</v>
      </c>
      <c r="D22" s="1019">
        <f>SUM(E22:S22,E29:S29)</f>
        <v>1014552355.5743138</v>
      </c>
      <c r="E22" s="2170">
        <f>IF((E19+E20-E21)&gt;0,E19+E20-E21,0)</f>
        <v>10397061.243418448</v>
      </c>
      <c r="F22" s="2171">
        <f t="shared" ref="F22:S22" si="7">IF((F19+F20-F21)&gt;0,F19+F20-F21,0)</f>
        <v>10524600.639997479</v>
      </c>
      <c r="G22" s="2171">
        <f t="shared" si="7"/>
        <v>263254701.44631201</v>
      </c>
      <c r="H22" s="2171">
        <f t="shared" si="7"/>
        <v>10787420.5224328</v>
      </c>
      <c r="I22" s="2171">
        <f t="shared" si="7"/>
        <v>10922816.021545079</v>
      </c>
      <c r="J22" s="2171">
        <f t="shared" si="7"/>
        <v>11060947.419516101</v>
      </c>
      <c r="K22" s="2171">
        <f t="shared" si="7"/>
        <v>11201875.545139384</v>
      </c>
      <c r="L22" s="2171">
        <f t="shared" si="7"/>
        <v>11345662.611071356</v>
      </c>
      <c r="M22" s="2171">
        <f t="shared" si="7"/>
        <v>141292372.24547625</v>
      </c>
      <c r="N22" s="2171">
        <f t="shared" si="7"/>
        <v>11642069.524395391</v>
      </c>
      <c r="O22" s="2171">
        <f t="shared" si="7"/>
        <v>11794821.004857611</v>
      </c>
      <c r="P22" s="2171">
        <f t="shared" si="7"/>
        <v>11950694.758747518</v>
      </c>
      <c r="Q22" s="2171">
        <f t="shared" si="7"/>
        <v>12109760.407449227</v>
      </c>
      <c r="R22" s="2171">
        <f t="shared" si="7"/>
        <v>12272089.157283172</v>
      </c>
      <c r="S22" s="2172">
        <f t="shared" si="7"/>
        <v>12437753.835754167</v>
      </c>
      <c r="T22" s="208"/>
      <c r="U22" s="208"/>
      <c r="V22" s="208"/>
      <c r="W22" s="208"/>
      <c r="X22" s="208"/>
      <c r="Y22" s="208"/>
      <c r="Z22" s="208"/>
      <c r="AA22" s="208"/>
      <c r="AB22" s="208"/>
      <c r="AC22" s="208"/>
    </row>
    <row r="23" spans="2:43" ht="14.25" thickBot="1" x14ac:dyDescent="0.35">
      <c r="C23" s="207"/>
      <c r="D23" s="207"/>
      <c r="E23" s="215"/>
      <c r="F23" s="215"/>
      <c r="G23" s="215"/>
      <c r="H23" s="215"/>
      <c r="I23" s="215"/>
      <c r="J23" s="215"/>
      <c r="K23" s="215"/>
      <c r="L23" s="215"/>
      <c r="M23" s="215"/>
      <c r="N23" s="215"/>
      <c r="O23" s="215"/>
      <c r="P23" s="215"/>
      <c r="Q23" s="215"/>
      <c r="R23" s="215"/>
      <c r="S23" s="215"/>
      <c r="T23" s="208"/>
      <c r="U23" s="208"/>
      <c r="V23" s="208"/>
      <c r="W23" s="208"/>
      <c r="X23" s="208"/>
      <c r="Y23" s="208"/>
      <c r="Z23" s="208"/>
      <c r="AA23" s="208"/>
      <c r="AB23" s="208"/>
      <c r="AC23" s="208"/>
    </row>
    <row r="24" spans="2:43" ht="14.25" x14ac:dyDescent="0.3">
      <c r="B24" s="982" t="s">
        <v>208</v>
      </c>
      <c r="C24" s="221" t="str">
        <f>C17</f>
        <v>Bez projektu</v>
      </c>
      <c r="D24" s="983"/>
      <c r="E24" s="2319">
        <f>S17+1</f>
        <v>2036</v>
      </c>
      <c r="F24" s="2325">
        <f t="shared" ref="F24:S24" si="8">E24+1</f>
        <v>2037</v>
      </c>
      <c r="G24" s="2325">
        <f t="shared" si="8"/>
        <v>2038</v>
      </c>
      <c r="H24" s="2325">
        <f t="shared" si="8"/>
        <v>2039</v>
      </c>
      <c r="I24" s="2325">
        <f t="shared" si="8"/>
        <v>2040</v>
      </c>
      <c r="J24" s="2325">
        <f t="shared" si="8"/>
        <v>2041</v>
      </c>
      <c r="K24" s="2325">
        <f t="shared" si="8"/>
        <v>2042</v>
      </c>
      <c r="L24" s="2325">
        <f t="shared" si="8"/>
        <v>2043</v>
      </c>
      <c r="M24" s="2325">
        <f t="shared" si="8"/>
        <v>2044</v>
      </c>
      <c r="N24" s="2325">
        <f t="shared" si="8"/>
        <v>2045</v>
      </c>
      <c r="O24" s="2325">
        <f t="shared" si="8"/>
        <v>2046</v>
      </c>
      <c r="P24" s="2325">
        <f>O24+1</f>
        <v>2047</v>
      </c>
      <c r="Q24" s="2325">
        <f t="shared" si="8"/>
        <v>2048</v>
      </c>
      <c r="R24" s="2325">
        <f t="shared" si="8"/>
        <v>2049</v>
      </c>
      <c r="S24" s="2315">
        <f t="shared" si="8"/>
        <v>2050</v>
      </c>
      <c r="T24" s="977"/>
      <c r="U24" s="978"/>
      <c r="V24" s="978"/>
      <c r="W24" s="978"/>
      <c r="X24" s="978"/>
      <c r="Y24" s="978"/>
      <c r="Z24" s="978"/>
      <c r="AA24" s="978"/>
      <c r="AB24" s="978"/>
      <c r="AC24" s="978"/>
    </row>
    <row r="25" spans="2:43" s="207" customFormat="1" ht="15" thickBot="1" x14ac:dyDescent="0.35">
      <c r="B25" s="222" t="s">
        <v>24</v>
      </c>
      <c r="C25" s="223"/>
      <c r="D25" s="225"/>
      <c r="E25" s="2661"/>
      <c r="F25" s="2659"/>
      <c r="G25" s="2659"/>
      <c r="H25" s="2659"/>
      <c r="I25" s="2659"/>
      <c r="J25" s="2659"/>
      <c r="K25" s="2659"/>
      <c r="L25" s="2659"/>
      <c r="M25" s="2659"/>
      <c r="N25" s="2659"/>
      <c r="O25" s="2659"/>
      <c r="P25" s="2659"/>
      <c r="Q25" s="2659"/>
      <c r="R25" s="2659"/>
      <c r="S25" s="2660"/>
      <c r="T25" s="977"/>
      <c r="U25" s="978"/>
      <c r="V25" s="978"/>
      <c r="W25" s="978"/>
      <c r="X25" s="978"/>
      <c r="Y25" s="978"/>
      <c r="Z25" s="978"/>
      <c r="AA25" s="978"/>
      <c r="AB25" s="978"/>
      <c r="AC25" s="978"/>
      <c r="AD25" s="214"/>
    </row>
    <row r="26" spans="2:43" s="207" customFormat="1" ht="14.25" x14ac:dyDescent="0.3">
      <c r="B26" s="1013" t="s">
        <v>9</v>
      </c>
      <c r="C26" s="1007" t="str">
        <f>C19</f>
        <v>Náklady na údržbu a opravy</v>
      </c>
      <c r="D26" s="385"/>
      <c r="E26" s="2161">
        <f>IF('10 Finanční analýza (FRR_C)'!$S$29="ŽELEZNIČNÍ",'3 PN infrastruktury'!E44+'3 PN infrastruktury'!E45,IF('10 Finanční analýza (FRR_C)'!$S$29="OSTATNÍ",'3 PN infrastruktury'!E51+'3 PN infrastruktury'!E52,0))+IF('10 Finanční analýza (FRR_C)'!$S$30="MHD (METRO+TRAM)",'4 PN vozidel'!E47+'4 PN vozidel'!E48,IF('10 Finanční analýza (FRR_C)'!$S$30="MHD (METRO+TRAM) A SILNIČNÍ (BUS)",'4 PN vozidel'!E47+'4 PN vozidel'!E48+'4 PN vozidel'!E43,0))</f>
        <v>6015858.0947911972</v>
      </c>
      <c r="F26" s="2162">
        <f>IF('10 Finanční analýza (FRR_C)'!$S$29="ŽELEZNIČNÍ",'3 PN infrastruktury'!F44+'3 PN infrastruktury'!F45,IF('10 Finanční analýza (FRR_C)'!$S$29="OSTATNÍ",'3 PN infrastruktury'!F51+'3 PN infrastruktury'!F52,0))+IF('10 Finanční analýza (FRR_C)'!$S$30="MHD (METRO+TRAM)",'4 PN vozidel'!F47+'4 PN vozidel'!F48,IF('10 Finanční analýza (FRR_C)'!$S$30="MHD (METRO+TRAM) A SILNIČNÍ (BUS)",'4 PN vozidel'!F47+'4 PN vozidel'!F48+'4 PN vozidel'!F43,0))</f>
        <v>6037486.551931818</v>
      </c>
      <c r="G26" s="2162">
        <f>IF('10 Finanční analýza (FRR_C)'!$S$29="ŽELEZNIČNÍ",'3 PN infrastruktury'!G44+'3 PN infrastruktury'!G45,IF('10 Finanční analýza (FRR_C)'!$S$29="OSTATNÍ",'3 PN infrastruktury'!G51+'3 PN infrastruktury'!G52,0))+IF('10 Finanční analýza (FRR_C)'!$S$30="MHD (METRO+TRAM)",'4 PN vozidel'!G47+'4 PN vozidel'!G48,IF('10 Finanční analýza (FRR_C)'!$S$30="MHD (METRO+TRAM) A SILNIČNÍ (BUS)",'4 PN vozidel'!G47+'4 PN vozidel'!G48+'4 PN vozidel'!G43,0))</f>
        <v>6059223.1513581434</v>
      </c>
      <c r="H26" s="2162">
        <f>IF('10 Finanční analýza (FRR_C)'!$S$29="ŽELEZNIČNÍ",'3 PN infrastruktury'!H44+'3 PN infrastruktury'!H45,IF('10 Finanční analýza (FRR_C)'!$S$29="OSTATNÍ",'3 PN infrastruktury'!H51+'3 PN infrastruktury'!H52,0))+IF('10 Finanční analýza (FRR_C)'!$S$30="MHD (METRO+TRAM)",'4 PN vozidel'!H47+'4 PN vozidel'!H48,IF('10 Finanční analýza (FRR_C)'!$S$30="MHD (METRO+TRAM) A SILNIČNÍ (BUS)",'4 PN vozidel'!H47+'4 PN vozidel'!H48+'4 PN vozidel'!H43,0))</f>
        <v>6081068.4337816006</v>
      </c>
      <c r="I26" s="2162">
        <f>IF('10 Finanční analýza (FRR_C)'!$S$29="ŽELEZNIČNÍ",'3 PN infrastruktury'!I44+'3 PN infrastruktury'!I45,IF('10 Finanční analýza (FRR_C)'!$S$29="OSTATNÍ",'3 PN infrastruktury'!I51+'3 PN infrastruktury'!I52,0))+IF('10 Finanční analýza (FRR_C)'!$S$30="MHD (METRO+TRAM)",'4 PN vozidel'!I47+'4 PN vozidel'!I48,IF('10 Finanční analýza (FRR_C)'!$S$30="MHD (METRO+TRAM) A SILNIČNÍ (BUS)",'4 PN vozidel'!I47+'4 PN vozidel'!I48+'4 PN vozidel'!I43,0))</f>
        <v>6103022.9426171752</v>
      </c>
      <c r="J26" s="2162">
        <f>IF('10 Finanční analýza (FRR_C)'!$S$29="ŽELEZNIČNÍ",'3 PN infrastruktury'!J44+'3 PN infrastruktury'!J45,IF('10 Finanční analýza (FRR_C)'!$S$29="OSTATNÍ",'3 PN infrastruktury'!J51+'3 PN infrastruktury'!J52,0))+IF('10 Finanční analýza (FRR_C)'!$S$30="MHD (METRO+TRAM)",'4 PN vozidel'!J47+'4 PN vozidel'!J48,IF('10 Finanční analýza (FRR_C)'!$S$30="MHD (METRO+TRAM) A SILNIČNÍ (BUS)",'4 PN vozidel'!J47+'4 PN vozidel'!J48+'4 PN vozidel'!J43,0))</f>
        <v>6125087.223996928</v>
      </c>
      <c r="K26" s="2162">
        <f>IF('10 Finanční analýza (FRR_C)'!$S$29="ŽELEZNIČNÍ",'3 PN infrastruktury'!K44+'3 PN infrastruktury'!K45,IF('10 Finanční analýza (FRR_C)'!$S$29="OSTATNÍ",'3 PN infrastruktury'!K51+'3 PN infrastruktury'!K52,0))+IF('10 Finanční analýza (FRR_C)'!$S$30="MHD (METRO+TRAM)",'4 PN vozidel'!K47+'4 PN vozidel'!K48,IF('10 Finanční analýza (FRR_C)'!$S$30="MHD (METRO+TRAM) A SILNIČNÍ (BUS)",'4 PN vozidel'!K47+'4 PN vozidel'!K48+'4 PN vozidel'!K43,0))</f>
        <v>6147261.8267835779</v>
      </c>
      <c r="L26" s="2162">
        <f>IF('10 Finanční analýza (FRR_C)'!$S$29="ŽELEZNIČNÍ",'3 PN infrastruktury'!L44+'3 PN infrastruktury'!L45,IF('10 Finanční analýza (FRR_C)'!$S$29="OSTATNÍ",'3 PN infrastruktury'!L51+'3 PN infrastruktury'!L52,0))+IF('10 Finanční analýza (FRR_C)'!$S$30="MHD (METRO+TRAM)",'4 PN vozidel'!L47+'4 PN vozidel'!L48,IF('10 Finanční analýza (FRR_C)'!$S$30="MHD (METRO+TRAM) A SILNIČNÍ (BUS)",'4 PN vozidel'!L47+'4 PN vozidel'!L48+'4 PN vozidel'!L43,0))</f>
        <v>6169547.302584162</v>
      </c>
      <c r="M26" s="2162">
        <f>IF('10 Finanční analýza (FRR_C)'!$S$29="ŽELEZNIČNÍ",'3 PN infrastruktury'!M44+'3 PN infrastruktury'!M45,IF('10 Finanční analýza (FRR_C)'!$S$29="OSTATNÍ",'3 PN infrastruktury'!M51+'3 PN infrastruktury'!M52,0))+IF('10 Finanční analýza (FRR_C)'!$S$30="MHD (METRO+TRAM)",'4 PN vozidel'!M47+'4 PN vozidel'!M48,IF('10 Finanční analýza (FRR_C)'!$S$30="MHD (METRO+TRAM) A SILNIČNÍ (BUS)",'4 PN vozidel'!M47+'4 PN vozidel'!M48+'4 PN vozidel'!M43,0))</f>
        <v>6191944.2057637488</v>
      </c>
      <c r="N26" s="2162">
        <f>IF('10 Finanční analýza (FRR_C)'!$S$29="ŽELEZNIČNÍ",'3 PN infrastruktury'!N44+'3 PN infrastruktury'!N45,IF('10 Finanční analýza (FRR_C)'!$S$29="OSTATNÍ",'3 PN infrastruktury'!N51+'3 PN infrastruktury'!N52,0))+IF('10 Finanční analýza (FRR_C)'!$S$30="MHD (METRO+TRAM)",'4 PN vozidel'!N47+'4 PN vozidel'!N48,IF('10 Finanční analýza (FRR_C)'!$S$30="MHD (METRO+TRAM) A SILNIČNÍ (BUS)",'4 PN vozidel'!N47+'4 PN vozidel'!N48+'4 PN vozidel'!N43,0))</f>
        <v>6214453.0934592336</v>
      </c>
      <c r="O26" s="2162">
        <f>IF('10 Finanční analýza (FRR_C)'!$S$29="ŽELEZNIČNÍ",'3 PN infrastruktury'!O44+'3 PN infrastruktury'!O45,IF('10 Finanční analýza (FRR_C)'!$S$29="OSTATNÍ",'3 PN infrastruktury'!O51+'3 PN infrastruktury'!O52,0))+IF('10 Finanční analýza (FRR_C)'!$S$30="MHD (METRO+TRAM)",'4 PN vozidel'!O47+'4 PN vozidel'!O48,IF('10 Finanční analýza (FRR_C)'!$S$30="MHD (METRO+TRAM) A SILNIČNÍ (BUS)",'4 PN vozidel'!O47+'4 PN vozidel'!O48+'4 PN vozidel'!O43,0))</f>
        <v>6237074.525593196</v>
      </c>
      <c r="P26" s="2162">
        <f>IF('10 Finanční analýza (FRR_C)'!$S$29="ŽELEZNIČNÍ",'3 PN infrastruktury'!P44+'3 PN infrastruktury'!P45,IF('10 Finanční analýza (FRR_C)'!$S$29="OSTATNÍ",'3 PN infrastruktury'!P51+'3 PN infrastruktury'!P52,0))+IF('10 Finanční analýza (FRR_C)'!$S$30="MHD (METRO+TRAM)",'4 PN vozidel'!P47+'4 PN vozidel'!P48,IF('10 Finanční analýza (FRR_C)'!$S$30="MHD (METRO+TRAM) A SILNIČNÍ (BUS)",'4 PN vozidel'!P47+'4 PN vozidel'!P48+'4 PN vozidel'!P43,0))</f>
        <v>6259809.0648878291</v>
      </c>
      <c r="Q26" s="2162">
        <f>IF('10 Finanční analýza (FRR_C)'!$S$29="ŽELEZNIČNÍ",'3 PN infrastruktury'!Q44+'3 PN infrastruktury'!Q45,IF('10 Finanční analýza (FRR_C)'!$S$29="OSTATNÍ",'3 PN infrastruktury'!Q51+'3 PN infrastruktury'!Q52,0))+IF('10 Finanční analýza (FRR_C)'!$S$30="MHD (METRO+TRAM)",'4 PN vozidel'!Q47+'4 PN vozidel'!Q48,IF('10 Finanční analýza (FRR_C)'!$S$30="MHD (METRO+TRAM) A SILNIČNÍ (BUS)",'4 PN vozidel'!Q47+'4 PN vozidel'!Q48+'4 PN vozidel'!Q43,0))</f>
        <v>258882657.27687892</v>
      </c>
      <c r="R26" s="2162">
        <f>IF('10 Finanční analýza (FRR_C)'!$S$29="ŽELEZNIČNÍ",'3 PN infrastruktury'!R44+'3 PN infrastruktury'!R45,IF('10 Finanční analýza (FRR_C)'!$S$29="OSTATNÍ",'3 PN infrastruktury'!R51+'3 PN infrastruktury'!R52,0))+IF('10 Finanční analýza (FRR_C)'!$S$30="MHD (METRO+TRAM)",'4 PN vozidel'!R47+'4 PN vozidel'!R48,IF('10 Finanční analýza (FRR_C)'!$S$30="MHD (METRO+TRAM) A SILNIČNÍ (BUS)",'4 PN vozidel'!R47+'4 PN vozidel'!R48+'4 PN vozidel'!R43,0))</f>
        <v>6305619.7299299948</v>
      </c>
      <c r="S26" s="2163">
        <f>IF('10 Finanční analýza (FRR_C)'!$S$29="ŽELEZNIČNÍ",'3 PN infrastruktury'!S44+'3 PN infrastruktury'!S45,IF('10 Finanční analýza (FRR_C)'!$S$29="OSTATNÍ",'3 PN infrastruktury'!S51+'3 PN infrastruktury'!S52,0))+IF('10 Finanční analýza (FRR_C)'!$S$30="MHD (METRO+TRAM)",'4 PN vozidel'!S47+'4 PN vozidel'!S48,IF('10 Finanční analýza (FRR_C)'!$S$30="MHD (METRO+TRAM) A SILNIČNÍ (BUS)",'4 PN vozidel'!S47+'4 PN vozidel'!S48+'4 PN vozidel'!S43,0))</f>
        <v>6328696.9952463107</v>
      </c>
      <c r="T26" s="208"/>
      <c r="U26" s="208"/>
      <c r="V26" s="208"/>
      <c r="W26" s="208"/>
      <c r="X26" s="208"/>
      <c r="Y26" s="208"/>
      <c r="Z26" s="208"/>
      <c r="AA26" s="208"/>
      <c r="AB26" s="208"/>
      <c r="AC26" s="208"/>
      <c r="AD26" s="229"/>
      <c r="AE26" s="25"/>
      <c r="AF26" s="25"/>
      <c r="AG26" s="25"/>
      <c r="AH26" s="25"/>
      <c r="AI26" s="25"/>
      <c r="AJ26" s="25"/>
      <c r="AK26" s="25"/>
      <c r="AL26" s="25"/>
      <c r="AM26" s="25"/>
      <c r="AN26" s="25"/>
      <c r="AO26" s="25"/>
      <c r="AP26" s="25"/>
      <c r="AQ26" s="25"/>
    </row>
    <row r="27" spans="2:43" ht="14.25" x14ac:dyDescent="0.3">
      <c r="B27" s="1008" t="s">
        <v>4</v>
      </c>
      <c r="C27" s="254" t="str">
        <f t="shared" ref="C27:C29" si="9">C20</f>
        <v>Náklady na řízení provozu</v>
      </c>
      <c r="D27" s="255"/>
      <c r="E27" s="2164">
        <f>'3 PN infrastruktury'!E46</f>
        <v>6590970.8338381276</v>
      </c>
      <c r="F27" s="2165">
        <f>'3 PN infrastruktury'!F46</f>
        <v>6741904.0659330208</v>
      </c>
      <c r="G27" s="2165">
        <f>'3 PN infrastruktury'!G46</f>
        <v>6896293.6690428862</v>
      </c>
      <c r="H27" s="2165">
        <f>'3 PN infrastruktury'!H46</f>
        <v>7054218.7940639677</v>
      </c>
      <c r="I27" s="2165">
        <f>'3 PN infrastruktury'!I46</f>
        <v>7215760.4044480333</v>
      </c>
      <c r="J27" s="2165">
        <f>'3 PN infrastruktury'!J46</f>
        <v>7381001.3177098921</v>
      </c>
      <c r="K27" s="2165">
        <f>'3 PN infrastruktury'!K46</f>
        <v>7550026.2478854479</v>
      </c>
      <c r="L27" s="2165">
        <f>'3 PN infrastruktury'!L46</f>
        <v>7722921.8489620239</v>
      </c>
      <c r="M27" s="2165">
        <f>'3 PN infrastruktury'!M46</f>
        <v>7899776.7593032531</v>
      </c>
      <c r="N27" s="2165">
        <f>'3 PN infrastruktury'!N46</f>
        <v>8080681.6470912965</v>
      </c>
      <c r="O27" s="2165">
        <f>'3 PN infrastruktury'!O46</f>
        <v>8265729.2568096872</v>
      </c>
      <c r="P27" s="2165">
        <f>'3 PN infrastruktury'!P46</f>
        <v>8455014.4567906279</v>
      </c>
      <c r="Q27" s="2165">
        <f>'3 PN infrastruktury'!Q46</f>
        <v>8648634.2878511343</v>
      </c>
      <c r="R27" s="2165">
        <f>'3 PN infrastruktury'!R46</f>
        <v>8846688.0130429249</v>
      </c>
      <c r="S27" s="2166">
        <f>'3 PN infrastruktury'!S46</f>
        <v>9049277.1685416065</v>
      </c>
      <c r="T27" s="208"/>
      <c r="U27" s="208"/>
      <c r="V27" s="208"/>
      <c r="W27" s="208"/>
      <c r="X27" s="208"/>
      <c r="Y27" s="208"/>
      <c r="Z27" s="208"/>
      <c r="AA27" s="208"/>
      <c r="AB27" s="208"/>
      <c r="AC27" s="208"/>
      <c r="AD27" s="229"/>
    </row>
    <row r="28" spans="2:43" ht="14.25" x14ac:dyDescent="0.3">
      <c r="B28" s="1008" t="s">
        <v>10</v>
      </c>
      <c r="C28" s="59" t="str">
        <f t="shared" si="9"/>
        <v>Příjmy z poplatků za dopravní cestu (případně jízdné)*</v>
      </c>
      <c r="D28" s="255"/>
      <c r="E28" s="2164">
        <f>'8 Příjmy'!E26+'8 Příjmy'!E27</f>
        <v>0</v>
      </c>
      <c r="F28" s="2165">
        <f>'8 Příjmy'!F26+'8 Příjmy'!F27</f>
        <v>0</v>
      </c>
      <c r="G28" s="2165">
        <f>'8 Příjmy'!G26+'8 Příjmy'!G27</f>
        <v>0</v>
      </c>
      <c r="H28" s="2165">
        <f>'8 Příjmy'!H26+'8 Příjmy'!H27</f>
        <v>0</v>
      </c>
      <c r="I28" s="2165">
        <f>'8 Příjmy'!I26+'8 Příjmy'!I27</f>
        <v>0</v>
      </c>
      <c r="J28" s="2165">
        <f>'8 Příjmy'!J26+'8 Příjmy'!J27</f>
        <v>0</v>
      </c>
      <c r="K28" s="2165">
        <f>'8 Příjmy'!K26+'8 Příjmy'!K27</f>
        <v>0</v>
      </c>
      <c r="L28" s="2165">
        <f>'8 Příjmy'!L26+'8 Příjmy'!L27</f>
        <v>0</v>
      </c>
      <c r="M28" s="2165">
        <f>'8 Příjmy'!M26+'8 Příjmy'!M27</f>
        <v>0</v>
      </c>
      <c r="N28" s="2165">
        <f>'8 Příjmy'!N26+'8 Příjmy'!N27</f>
        <v>0</v>
      </c>
      <c r="O28" s="2165">
        <f>'8 Příjmy'!O26+'8 Příjmy'!O27</f>
        <v>0</v>
      </c>
      <c r="P28" s="2165">
        <f>'8 Příjmy'!P26+'8 Příjmy'!P27</f>
        <v>0</v>
      </c>
      <c r="Q28" s="2165">
        <f>'8 Příjmy'!Q26+'8 Příjmy'!Q27</f>
        <v>0</v>
      </c>
      <c r="R28" s="2165">
        <f>'8 Příjmy'!R26+'8 Příjmy'!R27</f>
        <v>0</v>
      </c>
      <c r="S28" s="2166">
        <f>'8 Příjmy'!S26+'8 Příjmy'!S27</f>
        <v>0</v>
      </c>
      <c r="T28" s="208"/>
      <c r="U28" s="208"/>
      <c r="V28" s="208"/>
      <c r="W28" s="208"/>
      <c r="X28" s="208"/>
      <c r="Y28" s="208"/>
      <c r="Z28" s="208"/>
      <c r="AA28" s="208"/>
      <c r="AB28" s="208"/>
      <c r="AC28" s="208"/>
      <c r="AD28" s="229"/>
    </row>
    <row r="29" spans="2:43" ht="15" thickBot="1" x14ac:dyDescent="0.35">
      <c r="B29" s="1009" t="s">
        <v>11</v>
      </c>
      <c r="C29" s="1010" t="str">
        <f t="shared" si="9"/>
        <v>Provozní dotace</v>
      </c>
      <c r="D29" s="1014"/>
      <c r="E29" s="2170">
        <f>IF((E26+E27-E28)&gt;0,E26+E27-E28,0)</f>
        <v>12606828.928629324</v>
      </c>
      <c r="F29" s="2171">
        <f t="shared" ref="F29:S29" si="10">IF((F26+F27-F28)&gt;0,F26+F27-F28,0)</f>
        <v>12779390.61786484</v>
      </c>
      <c r="G29" s="2171">
        <f t="shared" si="10"/>
        <v>12955516.82040103</v>
      </c>
      <c r="H29" s="2171">
        <f t="shared" si="10"/>
        <v>13135287.227845568</v>
      </c>
      <c r="I29" s="2171">
        <f t="shared" si="10"/>
        <v>13318783.347065208</v>
      </c>
      <c r="J29" s="2171">
        <f t="shared" si="10"/>
        <v>13506088.541706819</v>
      </c>
      <c r="K29" s="2171">
        <f t="shared" si="10"/>
        <v>13697288.074669026</v>
      </c>
      <c r="L29" s="2171">
        <f t="shared" si="10"/>
        <v>13892469.151546186</v>
      </c>
      <c r="M29" s="2171">
        <f t="shared" si="10"/>
        <v>14091720.965067003</v>
      </c>
      <c r="N29" s="2171">
        <f t="shared" si="10"/>
        <v>14295134.740550529</v>
      </c>
      <c r="O29" s="2171">
        <f t="shared" si="10"/>
        <v>14502803.782402884</v>
      </c>
      <c r="P29" s="2171">
        <f t="shared" si="10"/>
        <v>14714823.521678457</v>
      </c>
      <c r="Q29" s="2171">
        <f t="shared" si="10"/>
        <v>267531291.56473005</v>
      </c>
      <c r="R29" s="2171">
        <f t="shared" si="10"/>
        <v>15152307.74297292</v>
      </c>
      <c r="S29" s="2172">
        <f t="shared" si="10"/>
        <v>15377974.163787916</v>
      </c>
      <c r="T29" s="208"/>
      <c r="U29" s="208"/>
      <c r="V29" s="208"/>
      <c r="W29" s="208"/>
      <c r="X29" s="208"/>
      <c r="Y29" s="208"/>
      <c r="Z29" s="208"/>
      <c r="AA29" s="208"/>
      <c r="AB29" s="208"/>
      <c r="AC29" s="208"/>
      <c r="AD29" s="229"/>
    </row>
    <row r="30" spans="2:43" x14ac:dyDescent="0.3">
      <c r="B30" s="984"/>
      <c r="C30" s="985"/>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29"/>
    </row>
    <row r="31" spans="2:43" ht="14.25" thickBot="1" x14ac:dyDescent="0.35">
      <c r="C31" s="207"/>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7"/>
      <c r="AE31" s="207"/>
      <c r="AF31" s="207"/>
      <c r="AG31" s="207"/>
      <c r="AH31" s="207"/>
      <c r="AI31" s="207"/>
      <c r="AJ31" s="207"/>
      <c r="AK31" s="207"/>
      <c r="AL31" s="207"/>
      <c r="AM31" s="207"/>
      <c r="AN31" s="207"/>
      <c r="AO31" s="207"/>
      <c r="AP31" s="207"/>
      <c r="AQ31" s="207"/>
    </row>
    <row r="32" spans="2:43" s="207" customFormat="1" ht="12.75" customHeight="1" x14ac:dyDescent="0.3">
      <c r="B32" s="995" t="s">
        <v>209</v>
      </c>
      <c r="C32" s="243" t="str">
        <f>IF('0 Úvod'!$M$10="English",Slovnik!$D$622,Slovnik!$C$622)</f>
        <v>Redukce dotací</v>
      </c>
      <c r="D32" s="244"/>
      <c r="E32" s="2312">
        <f>E2</f>
        <v>2021</v>
      </c>
      <c r="F32" s="2312">
        <f t="shared" ref="F32:S32" si="11">E32+1</f>
        <v>2022</v>
      </c>
      <c r="G32" s="2312">
        <f t="shared" si="11"/>
        <v>2023</v>
      </c>
      <c r="H32" s="2312">
        <f t="shared" si="11"/>
        <v>2024</v>
      </c>
      <c r="I32" s="2312">
        <f t="shared" si="11"/>
        <v>2025</v>
      </c>
      <c r="J32" s="2312">
        <f t="shared" si="11"/>
        <v>2026</v>
      </c>
      <c r="K32" s="2312">
        <f t="shared" si="11"/>
        <v>2027</v>
      </c>
      <c r="L32" s="2312">
        <f t="shared" si="11"/>
        <v>2028</v>
      </c>
      <c r="M32" s="2312">
        <f t="shared" si="11"/>
        <v>2029</v>
      </c>
      <c r="N32" s="2312">
        <f t="shared" si="11"/>
        <v>2030</v>
      </c>
      <c r="O32" s="2312">
        <f t="shared" si="11"/>
        <v>2031</v>
      </c>
      <c r="P32" s="2312">
        <f>O32+1</f>
        <v>2032</v>
      </c>
      <c r="Q32" s="2312">
        <f t="shared" si="11"/>
        <v>2033</v>
      </c>
      <c r="R32" s="2312">
        <f t="shared" si="11"/>
        <v>2034</v>
      </c>
      <c r="S32" s="2317">
        <f t="shared" si="11"/>
        <v>2035</v>
      </c>
      <c r="T32" s="977"/>
      <c r="U32" s="978"/>
      <c r="V32" s="978"/>
      <c r="W32" s="978"/>
      <c r="X32" s="978"/>
      <c r="Y32" s="978"/>
      <c r="Z32" s="978"/>
      <c r="AA32" s="978"/>
      <c r="AB32" s="978"/>
      <c r="AC32" s="978"/>
      <c r="AD32" s="25"/>
      <c r="AE32" s="25"/>
      <c r="AF32" s="25"/>
      <c r="AG32" s="25"/>
      <c r="AH32" s="25"/>
      <c r="AI32" s="25"/>
      <c r="AJ32" s="25"/>
      <c r="AK32" s="25"/>
      <c r="AL32" s="25"/>
      <c r="AM32" s="25"/>
      <c r="AN32" s="25"/>
      <c r="AO32" s="25"/>
      <c r="AP32" s="25"/>
      <c r="AQ32" s="25"/>
    </row>
    <row r="33" spans="2:43" s="207" customFormat="1" ht="12.75" customHeight="1" thickBot="1" x14ac:dyDescent="0.35">
      <c r="B33" s="245" t="s">
        <v>23</v>
      </c>
      <c r="C33" s="996"/>
      <c r="D33" s="997" t="str">
        <f>D18</f>
        <v>Celkem</v>
      </c>
      <c r="E33" s="2313"/>
      <c r="F33" s="2313"/>
      <c r="G33" s="2313"/>
      <c r="H33" s="2313"/>
      <c r="I33" s="2313"/>
      <c r="J33" s="2313"/>
      <c r="K33" s="2313"/>
      <c r="L33" s="2313"/>
      <c r="M33" s="2313"/>
      <c r="N33" s="2313"/>
      <c r="O33" s="2313"/>
      <c r="P33" s="2313"/>
      <c r="Q33" s="2313"/>
      <c r="R33" s="2313"/>
      <c r="S33" s="2318"/>
      <c r="T33" s="977"/>
      <c r="U33" s="978"/>
      <c r="V33" s="978"/>
      <c r="W33" s="978"/>
      <c r="X33" s="978"/>
      <c r="Y33" s="978"/>
      <c r="Z33" s="978"/>
      <c r="AA33" s="978"/>
      <c r="AB33" s="978"/>
      <c r="AC33" s="978"/>
      <c r="AD33" s="25"/>
      <c r="AE33" s="25"/>
      <c r="AF33" s="25"/>
      <c r="AG33" s="25"/>
      <c r="AH33" s="25"/>
      <c r="AI33" s="25"/>
      <c r="AJ33" s="25"/>
      <c r="AK33" s="25"/>
      <c r="AL33" s="25"/>
      <c r="AM33" s="25"/>
      <c r="AN33" s="25"/>
      <c r="AO33" s="25"/>
      <c r="AP33" s="25"/>
      <c r="AQ33" s="25"/>
    </row>
    <row r="34" spans="2:43" s="207" customFormat="1" ht="14.25" x14ac:dyDescent="0.3">
      <c r="B34" s="1015" t="s">
        <v>12</v>
      </c>
      <c r="C34" s="1007" t="str">
        <f>IF('0 Úvod'!$M$10="English",Slovnik!D623,Slovnik!C623)</f>
        <v>Redukce přírůstkových provozních nákladů</v>
      </c>
      <c r="D34" s="378">
        <f>SUM(E34:S34,E41:S41)</f>
        <v>150115324.29542595</v>
      </c>
      <c r="E34" s="2161">
        <f>IF(E32&lt;='0 Úvod'!$G$18+'0 Úvod'!$J$18-1,(E19+E20)-(E4+E5),0)</f>
        <v>0</v>
      </c>
      <c r="F34" s="2162">
        <f>IF(F32&lt;='0 Úvod'!$G$18+'0 Úvod'!$J$18-1,(F19+F20)-(F4+F5),0)</f>
        <v>0</v>
      </c>
      <c r="G34" s="2162">
        <f>IF(G32&lt;='0 Úvod'!$G$18+'0 Úvod'!$J$18-1,(G19+G20)-(G4+G5),0)</f>
        <v>253671132.51507542</v>
      </c>
      <c r="H34" s="2162">
        <f>IF(H32&lt;='0 Úvod'!$G$18+'0 Úvod'!$J$18-1,(H19+H20)-(H4+H5),0)</f>
        <v>1072652.8498773426</v>
      </c>
      <c r="I34" s="2162">
        <f>IF(I32&lt;='0 Úvod'!$G$18+'0 Úvod'!$J$18-1,(I19+I20)-(I4+I5),0)</f>
        <v>1074180.786353264</v>
      </c>
      <c r="J34" s="2162">
        <f>IF(J32&lt;='0 Úvod'!$G$18+'0 Úvod'!$J$18-1,(J19+J20)-(J4+J5),0)</f>
        <v>1075716.3625115603</v>
      </c>
      <c r="K34" s="2162">
        <f>IF(K32&lt;='0 Úvod'!$G$18+'0 Úvod'!$J$18-1,(K19+K20)-(K4+K5),0)</f>
        <v>1077259.6165506504</v>
      </c>
      <c r="L34" s="2162">
        <f>IF(L32&lt;='0 Úvod'!$G$18+'0 Úvod'!$J$18-1,(L19+L20)-(L4+L5),0)</f>
        <v>1078810.5868599359</v>
      </c>
      <c r="M34" s="2162">
        <f>IF(M32&lt;='0 Úvod'!$G$18+'0 Úvod'!$J$18-1,(M19+M20)-(M4+M5),0)</f>
        <v>130880369.31202078</v>
      </c>
      <c r="N34" s="2162">
        <f>IF(N32&lt;='0 Úvod'!$G$18+'0 Úvod'!$J$18-1,(N19+N20)-(N4+N5),0)</f>
        <v>1081935.8308074046</v>
      </c>
      <c r="O34" s="2162">
        <f>IF(O32&lt;='0 Úvod'!$G$18+'0 Úvod'!$J$18-1,(O19+O20)-(O4+O5),0)</f>
        <v>1083510.1821879726</v>
      </c>
      <c r="P34" s="2162">
        <f>IF(P32&lt;='0 Úvod'!$G$18+'0 Úvod'!$J$18-1,(P19+P20)-(P4+P5),0)</f>
        <v>1085092.4053254463</v>
      </c>
      <c r="Q34" s="2162">
        <f>IF(Q32&lt;='0 Úvod'!$G$18+'0 Úvod'!$J$18-1,(Q19+Q20)-(Q4+Q5),0)</f>
        <v>1086682.5395786017</v>
      </c>
      <c r="R34" s="2162">
        <f>IF(R32&lt;='0 Úvod'!$G$18+'0 Úvod'!$J$18-1,(R19+R20)-(R4+R5),0)</f>
        <v>1088280.6245030276</v>
      </c>
      <c r="S34" s="2163">
        <f>IF(S32&lt;='0 Úvod'!$G$18+'0 Úvod'!$J$18-1,(S19+S20)-(S4+S5),0)</f>
        <v>1089886.6998520773</v>
      </c>
      <c r="T34" s="208"/>
      <c r="U34" s="208"/>
      <c r="V34" s="208"/>
      <c r="W34" s="208"/>
      <c r="X34" s="208"/>
      <c r="Y34" s="208"/>
      <c r="Z34" s="208"/>
      <c r="AA34" s="208"/>
      <c r="AB34" s="208"/>
      <c r="AC34" s="208"/>
    </row>
    <row r="35" spans="2:43" s="207" customFormat="1" ht="14.25" x14ac:dyDescent="0.3">
      <c r="B35" s="1015" t="s">
        <v>13</v>
      </c>
      <c r="C35" s="59" t="str">
        <f>IF('0 Úvod'!$M$10="English",Slovnik!D624,Slovnik!C624)</f>
        <v>Redukce provozních dotací</v>
      </c>
      <c r="D35" s="379">
        <f>SUM(E35:S35,E42:S42)</f>
        <v>150115324.29542595</v>
      </c>
      <c r="E35" s="2164">
        <f>IF(E32&lt;='0 Úvod'!$G$18+'0 Úvod'!$J$18-1,E22-E7,0)</f>
        <v>0</v>
      </c>
      <c r="F35" s="2165">
        <f>IF(F32&lt;='0 Úvod'!$G$18+'0 Úvod'!$J$18-1,F22-F7,0)</f>
        <v>0</v>
      </c>
      <c r="G35" s="2165">
        <f>IF(G32&lt;='0 Úvod'!$G$18+'0 Úvod'!$J$18-1,G22-G7,0)</f>
        <v>253671132.51507542</v>
      </c>
      <c r="H35" s="2165">
        <f>IF(H32&lt;='0 Úvod'!$G$18+'0 Úvod'!$J$18-1,H22-H7,0)</f>
        <v>1072652.8498773426</v>
      </c>
      <c r="I35" s="2165">
        <f>IF(I32&lt;='0 Úvod'!$G$18+'0 Úvod'!$J$18-1,I22-I7,0)</f>
        <v>1074180.786353264</v>
      </c>
      <c r="J35" s="2165">
        <f>IF(J32&lt;='0 Úvod'!$G$18+'0 Úvod'!$J$18-1,J22-J7,0)</f>
        <v>1075716.3625115603</v>
      </c>
      <c r="K35" s="2165">
        <f>IF(K32&lt;='0 Úvod'!$G$18+'0 Úvod'!$J$18-1,K22-K7,0)</f>
        <v>1077259.6165506504</v>
      </c>
      <c r="L35" s="2165">
        <f>IF(L32&lt;='0 Úvod'!$G$18+'0 Úvod'!$J$18-1,L22-L7,0)</f>
        <v>1078810.5868599359</v>
      </c>
      <c r="M35" s="2165">
        <f>IF(M32&lt;='0 Úvod'!$G$18+'0 Úvod'!$J$18-1,M22-M7,0)</f>
        <v>130880369.31202078</v>
      </c>
      <c r="N35" s="2165">
        <f>IF(N32&lt;='0 Úvod'!$G$18+'0 Úvod'!$J$18-1,N22-N7,0)</f>
        <v>1081935.8308074046</v>
      </c>
      <c r="O35" s="2165">
        <f>IF(O32&lt;='0 Úvod'!$G$18+'0 Úvod'!$J$18-1,O22-O7,0)</f>
        <v>1083510.1821879726</v>
      </c>
      <c r="P35" s="2165">
        <f>IF(P32&lt;='0 Úvod'!$G$18+'0 Úvod'!$J$18-1,P22-P7,0)</f>
        <v>1085092.4053254463</v>
      </c>
      <c r="Q35" s="2165">
        <f>IF(Q32&lt;='0 Úvod'!$G$18+'0 Úvod'!$J$18-1,Q22-Q7,0)</f>
        <v>1086682.5395786017</v>
      </c>
      <c r="R35" s="2165">
        <f>IF(R32&lt;='0 Úvod'!$G$18+'0 Úvod'!$J$18-1,R22-R7,0)</f>
        <v>1088280.6245030276</v>
      </c>
      <c r="S35" s="2166">
        <f>IF(S32&lt;='0 Úvod'!$G$18+'0 Úvod'!$J$18-1,S22-S7,0)</f>
        <v>1089886.6998520773</v>
      </c>
      <c r="T35" s="208"/>
      <c r="U35" s="208"/>
      <c r="V35" s="208"/>
      <c r="W35" s="208"/>
      <c r="X35" s="208"/>
      <c r="Y35" s="208"/>
      <c r="Z35" s="208"/>
      <c r="AA35" s="208"/>
      <c r="AB35" s="208"/>
      <c r="AC35" s="208"/>
    </row>
    <row r="36" spans="2:43" s="207" customFormat="1" ht="15" thickBot="1" x14ac:dyDescent="0.35">
      <c r="B36" s="1015"/>
      <c r="C36" s="1016" t="str">
        <f>IF('0 Úvod'!$M$10="English",Slovnik!D625,Slovnik!C625)</f>
        <v>Je snížení prov. nákladů plně kompenzováno snížením dotací</v>
      </c>
      <c r="D36" s="1020" t="str">
        <f>IF('0 Úvod'!$M$10="English",IF(D35&gt;=D34,Slovnik!$D$628,Slovnik!$D$629),IF(D35&gt;=D34,Slovnik!$C$628,Slovnik!$C$629))</f>
        <v>ANO</v>
      </c>
      <c r="E36" s="1021" t="str">
        <f>IF('0 Úvod'!$M$10="English",IF(E35&gt;=E34,Slovnik!$D$628,Slovnik!$D$629),IF(E35&gt;=E34,Slovnik!$C$628,Slovnik!$C$629))</f>
        <v>ANO</v>
      </c>
      <c r="F36" s="1022" t="str">
        <f>IF('0 Úvod'!$M$10="English",IF(F35&gt;=F34,Slovnik!$D$628,Slovnik!$D$629),IF(F35&gt;=F34,Slovnik!$C$628,Slovnik!$C$629))</f>
        <v>ANO</v>
      </c>
      <c r="G36" s="1022" t="str">
        <f>IF('0 Úvod'!$M$10="English",IF(G35&gt;=G34,Slovnik!$D$628,Slovnik!$D$629),IF(G35&gt;=G34,Slovnik!$C$628,Slovnik!$C$629))</f>
        <v>ANO</v>
      </c>
      <c r="H36" s="1022" t="str">
        <f>IF('0 Úvod'!$M$10="English",IF(H35&gt;=H34,Slovnik!$D$628,Slovnik!$D$629),IF(H35&gt;=H34,Slovnik!$C$628,Slovnik!$C$629))</f>
        <v>ANO</v>
      </c>
      <c r="I36" s="1022" t="str">
        <f>IF('0 Úvod'!$M$10="English",IF(I35&gt;=I34,Slovnik!$D$628,Slovnik!$D$629),IF(I35&gt;=I34,Slovnik!$C$628,Slovnik!$C$629))</f>
        <v>ANO</v>
      </c>
      <c r="J36" s="1022" t="str">
        <f>IF('0 Úvod'!$M$10="English",IF(J35&gt;=J34,Slovnik!$D$628,Slovnik!$D$629),IF(J35&gt;=J34,Slovnik!$C$628,Slovnik!$C$629))</f>
        <v>ANO</v>
      </c>
      <c r="K36" s="1022" t="str">
        <f>IF('0 Úvod'!$M$10="English",IF(K35&gt;=K34,Slovnik!$D$628,Slovnik!$D$629),IF(K35&gt;=K34,Slovnik!$C$628,Slovnik!$C$629))</f>
        <v>ANO</v>
      </c>
      <c r="L36" s="1022" t="str">
        <f>IF('0 Úvod'!$M$10="English",IF(L35&gt;=L34,Slovnik!$D$628,Slovnik!$D$629),IF(L35&gt;=L34,Slovnik!$C$628,Slovnik!$C$629))</f>
        <v>ANO</v>
      </c>
      <c r="M36" s="1022" t="str">
        <f>IF('0 Úvod'!$M$10="English",IF(M35&gt;=M34,Slovnik!$D$628,Slovnik!$D$629),IF(M35&gt;=M34,Slovnik!$C$628,Slovnik!$C$629))</f>
        <v>ANO</v>
      </c>
      <c r="N36" s="1022" t="str">
        <f>IF('0 Úvod'!$M$10="English",IF(N35&gt;=N34,Slovnik!$D$628,Slovnik!$D$629),IF(N35&gt;=N34,Slovnik!$C$628,Slovnik!$C$629))</f>
        <v>ANO</v>
      </c>
      <c r="O36" s="1022" t="str">
        <f>IF('0 Úvod'!$M$10="English",IF(O35&gt;=O34,Slovnik!$D$628,Slovnik!$D$629),IF(O35&gt;=O34,Slovnik!$C$628,Slovnik!$C$629))</f>
        <v>ANO</v>
      </c>
      <c r="P36" s="1022" t="str">
        <f>IF('0 Úvod'!$M$10="English",IF(P35&gt;=P34,Slovnik!$D$628,Slovnik!$D$629),IF(P35&gt;=P34,Slovnik!$C$628,Slovnik!$C$629))</f>
        <v>ANO</v>
      </c>
      <c r="Q36" s="1022" t="str">
        <f>IF('0 Úvod'!$M$10="English",IF(Q35&gt;=Q34,Slovnik!$D$628,Slovnik!$D$629),IF(Q35&gt;=Q34,Slovnik!$C$628,Slovnik!$C$629))</f>
        <v>ANO</v>
      </c>
      <c r="R36" s="1022" t="str">
        <f>IF('0 Úvod'!$M$10="English",IF(R35&gt;=R34,Slovnik!$D$628,Slovnik!$D$629),IF(R35&gt;=R34,Slovnik!$C$628,Slovnik!$C$629))</f>
        <v>ANO</v>
      </c>
      <c r="S36" s="1023" t="str">
        <f>IF('0 Úvod'!$M$10="English",IF(S35&gt;=S34,Slovnik!$D$628,Slovnik!$D$629),IF(S35&gt;=S34,Slovnik!$C$628,Slovnik!$C$629))</f>
        <v>ANO</v>
      </c>
      <c r="T36" s="986"/>
      <c r="U36" s="986"/>
      <c r="V36" s="986"/>
      <c r="W36" s="986"/>
      <c r="X36" s="986"/>
      <c r="Y36" s="986"/>
      <c r="Z36" s="986"/>
      <c r="AA36" s="986"/>
      <c r="AB36" s="986"/>
      <c r="AC36" s="986"/>
    </row>
    <row r="37" spans="2:43" s="207" customFormat="1" ht="15" thickBot="1" x14ac:dyDescent="0.35">
      <c r="B37" s="999" t="s">
        <v>14</v>
      </c>
      <c r="C37" s="1000" t="str">
        <f>IF('0 Úvod'!$M$10="English",Slovnik!D626,Slovnik!C626)</f>
        <v>Čistá úspora provozních nákladů**</v>
      </c>
      <c r="D37" s="1001">
        <f>SUM(E44:S44,E37:S37)</f>
        <v>0</v>
      </c>
      <c r="E37" s="1002">
        <f t="shared" ref="E37:S37" si="12">E35-E34</f>
        <v>0</v>
      </c>
      <c r="F37" s="1003">
        <f t="shared" si="12"/>
        <v>0</v>
      </c>
      <c r="G37" s="1003">
        <f t="shared" si="12"/>
        <v>0</v>
      </c>
      <c r="H37" s="1003">
        <f t="shared" si="12"/>
        <v>0</v>
      </c>
      <c r="I37" s="1003">
        <f t="shared" si="12"/>
        <v>0</v>
      </c>
      <c r="J37" s="1003">
        <f t="shared" si="12"/>
        <v>0</v>
      </c>
      <c r="K37" s="1003">
        <f t="shared" si="12"/>
        <v>0</v>
      </c>
      <c r="L37" s="1003">
        <f t="shared" si="12"/>
        <v>0</v>
      </c>
      <c r="M37" s="1003">
        <f t="shared" si="12"/>
        <v>0</v>
      </c>
      <c r="N37" s="1003">
        <f t="shared" si="12"/>
        <v>0</v>
      </c>
      <c r="O37" s="1003">
        <f t="shared" si="12"/>
        <v>0</v>
      </c>
      <c r="P37" s="1003">
        <f t="shared" si="12"/>
        <v>0</v>
      </c>
      <c r="Q37" s="1003">
        <f t="shared" si="12"/>
        <v>0</v>
      </c>
      <c r="R37" s="1003">
        <f t="shared" si="12"/>
        <v>0</v>
      </c>
      <c r="S37" s="1004">
        <f t="shared" si="12"/>
        <v>0</v>
      </c>
      <c r="T37" s="208"/>
      <c r="U37" s="208"/>
      <c r="V37" s="208"/>
      <c r="W37" s="208"/>
      <c r="X37" s="208"/>
      <c r="Y37" s="208"/>
      <c r="Z37" s="208"/>
      <c r="AA37" s="208"/>
      <c r="AB37" s="208"/>
      <c r="AC37" s="208"/>
      <c r="AD37" s="25"/>
    </row>
    <row r="38" spans="2:43" s="207" customFormat="1" ht="14.25" thickBot="1" x14ac:dyDescent="0.35">
      <c r="D38" s="208"/>
      <c r="E38" s="987"/>
      <c r="F38" s="987"/>
      <c r="G38" s="987"/>
      <c r="H38" s="987"/>
      <c r="I38" s="987"/>
      <c r="J38" s="987"/>
      <c r="K38" s="987"/>
      <c r="L38" s="987"/>
      <c r="M38" s="987"/>
      <c r="N38" s="987"/>
      <c r="O38" s="987"/>
      <c r="P38" s="987"/>
      <c r="Q38" s="987"/>
      <c r="R38" s="987"/>
      <c r="S38" s="987"/>
      <c r="T38" s="208"/>
      <c r="U38" s="208"/>
      <c r="V38" s="208"/>
      <c r="W38" s="208"/>
      <c r="X38" s="208"/>
      <c r="Y38" s="208"/>
      <c r="Z38" s="208"/>
      <c r="AA38" s="208"/>
      <c r="AB38" s="208"/>
      <c r="AC38" s="208"/>
    </row>
    <row r="39" spans="2:43" s="207" customFormat="1" ht="12.75" customHeight="1" x14ac:dyDescent="0.3">
      <c r="B39" s="995" t="s">
        <v>209</v>
      </c>
      <c r="C39" s="243" t="str">
        <f>C32</f>
        <v>Redukce dotací</v>
      </c>
      <c r="D39" s="244"/>
      <c r="E39" s="2327">
        <f>S32+1</f>
        <v>2036</v>
      </c>
      <c r="F39" s="2312">
        <f t="shared" ref="F39:S39" si="13">E39+1</f>
        <v>2037</v>
      </c>
      <c r="G39" s="2312">
        <f t="shared" si="13"/>
        <v>2038</v>
      </c>
      <c r="H39" s="2312">
        <f t="shared" si="13"/>
        <v>2039</v>
      </c>
      <c r="I39" s="2312">
        <f t="shared" si="13"/>
        <v>2040</v>
      </c>
      <c r="J39" s="2312">
        <f t="shared" si="13"/>
        <v>2041</v>
      </c>
      <c r="K39" s="2312">
        <f t="shared" si="13"/>
        <v>2042</v>
      </c>
      <c r="L39" s="2312">
        <f t="shared" si="13"/>
        <v>2043</v>
      </c>
      <c r="M39" s="2312">
        <f t="shared" si="13"/>
        <v>2044</v>
      </c>
      <c r="N39" s="2312">
        <f t="shared" si="13"/>
        <v>2045</v>
      </c>
      <c r="O39" s="2312">
        <f t="shared" si="13"/>
        <v>2046</v>
      </c>
      <c r="P39" s="2312">
        <f>O39+1</f>
        <v>2047</v>
      </c>
      <c r="Q39" s="2312">
        <f t="shared" si="13"/>
        <v>2048</v>
      </c>
      <c r="R39" s="2312">
        <f t="shared" si="13"/>
        <v>2049</v>
      </c>
      <c r="S39" s="2317">
        <f t="shared" si="13"/>
        <v>2050</v>
      </c>
      <c r="T39" s="977"/>
      <c r="U39" s="978"/>
      <c r="V39" s="978"/>
      <c r="W39" s="978"/>
      <c r="X39" s="978"/>
      <c r="Y39" s="978"/>
      <c r="Z39" s="978"/>
      <c r="AA39" s="978"/>
      <c r="AB39" s="978"/>
      <c r="AC39" s="978"/>
      <c r="AD39" s="25"/>
      <c r="AE39" s="25"/>
      <c r="AF39" s="25"/>
      <c r="AG39" s="25"/>
      <c r="AH39" s="25"/>
      <c r="AI39" s="25"/>
      <c r="AJ39" s="25"/>
      <c r="AK39" s="25"/>
      <c r="AL39" s="25"/>
      <c r="AM39" s="25"/>
      <c r="AN39" s="25"/>
      <c r="AO39" s="25"/>
      <c r="AP39" s="25"/>
      <c r="AQ39" s="25"/>
    </row>
    <row r="40" spans="2:43" s="207" customFormat="1" ht="12.75" customHeight="1" thickBot="1" x14ac:dyDescent="0.35">
      <c r="B40" s="245" t="s">
        <v>24</v>
      </c>
      <c r="C40" s="996"/>
      <c r="D40" s="998"/>
      <c r="E40" s="2328"/>
      <c r="F40" s="2313"/>
      <c r="G40" s="2313"/>
      <c r="H40" s="2313"/>
      <c r="I40" s="2313"/>
      <c r="J40" s="2313"/>
      <c r="K40" s="2313"/>
      <c r="L40" s="2313"/>
      <c r="M40" s="2313"/>
      <c r="N40" s="2313"/>
      <c r="O40" s="2313"/>
      <c r="P40" s="2313"/>
      <c r="Q40" s="2313"/>
      <c r="R40" s="2313"/>
      <c r="S40" s="2318"/>
      <c r="T40" s="977"/>
      <c r="U40" s="978"/>
      <c r="V40" s="978"/>
      <c r="W40" s="978"/>
      <c r="X40" s="978"/>
      <c r="Y40" s="978"/>
      <c r="Z40" s="978"/>
      <c r="AA40" s="978"/>
      <c r="AB40" s="978"/>
      <c r="AC40" s="978"/>
      <c r="AD40" s="25"/>
      <c r="AE40" s="25"/>
      <c r="AF40" s="25"/>
      <c r="AG40" s="25"/>
      <c r="AH40" s="25"/>
      <c r="AI40" s="25"/>
      <c r="AJ40" s="25"/>
      <c r="AK40" s="25"/>
      <c r="AL40" s="25"/>
      <c r="AM40" s="25"/>
      <c r="AN40" s="25"/>
      <c r="AO40" s="25"/>
      <c r="AP40" s="25"/>
      <c r="AQ40" s="25"/>
    </row>
    <row r="41" spans="2:43" s="207" customFormat="1" ht="14.25" x14ac:dyDescent="0.3">
      <c r="B41" s="1015" t="s">
        <v>12</v>
      </c>
      <c r="C41" s="1007" t="str">
        <f>C34</f>
        <v>Redukce přírůstkových provozních nákladů</v>
      </c>
      <c r="D41" s="1017"/>
      <c r="E41" s="2161">
        <f>IF(E39&lt;='0 Úvod'!$G$18+'0 Úvod'!$J$18-1,(E26+E27)-(E11+E12),0)</f>
        <v>1091500.8055778686</v>
      </c>
      <c r="F41" s="2162">
        <f>IF(F39&lt;='0 Úvod'!$G$18+'0 Úvod'!$J$18-1,(F26+F27)-(F11+F12),0)</f>
        <v>1093122.9818322901</v>
      </c>
      <c r="G41" s="2162">
        <f>IF(G39&lt;='0 Úvod'!$G$18+'0 Úvod'!$J$18-1,(G26+G27)-(G11+G12),0)</f>
        <v>1094753.2689679824</v>
      </c>
      <c r="H41" s="2162">
        <f>IF(H39&lt;='0 Úvod'!$G$18+'0 Úvod'!$J$18-1,(H26+H27)-(H11+H12),0)</f>
        <v>1096391.7075393554</v>
      </c>
      <c r="I41" s="2162">
        <f>IF(I39&lt;='0 Úvod'!$G$18+'0 Úvod'!$J$18-1,(I26+I27)-(I11+I12),0)</f>
        <v>1098038.3383035827</v>
      </c>
      <c r="J41" s="2162">
        <f>IF(J39&lt;='0 Úvod'!$G$18+'0 Úvod'!$J$18-1,(J26+J27)-(J11+J12),0)</f>
        <v>1099693.2022216357</v>
      </c>
      <c r="K41" s="2162">
        <f>IF(K39&lt;='0 Úvod'!$G$18+'0 Úvod'!$J$18-1,(K26+K27)-(K11+K12),0)</f>
        <v>1101356.340459276</v>
      </c>
      <c r="L41" s="2162">
        <f>IF(L39&lt;='0 Úvod'!$G$18+'0 Úvod'!$J$18-1,(L26+L27)-(L11+L12),0)</f>
        <v>-6232010.2313405592</v>
      </c>
      <c r="M41" s="2162">
        <f>IF(M39&lt;='0 Úvod'!$G$18+'0 Úvod'!$J$18-1,(M26+M27)-(M11+M12),0)</f>
        <v>1104707.6055865772</v>
      </c>
      <c r="N41" s="2162">
        <f>IF(N39&lt;='0 Úvod'!$G$18+'0 Úvod'!$J$18-1,(N26+N27)-(N11+N12),0)</f>
        <v>1106395.8158410396</v>
      </c>
      <c r="O41" s="2162">
        <f>IF(O39&lt;='0 Úvod'!$G$18+'0 Úvod'!$J$18-1,(O26+O27)-(O11+O12),0)</f>
        <v>1108092.4671467785</v>
      </c>
      <c r="P41" s="2162">
        <f>IF(P39&lt;='0 Úvod'!$G$18+'0 Úvod'!$J$18-1,(P26+P27)-(P11+P12),0)</f>
        <v>1109797.6017090436</v>
      </c>
      <c r="Q41" s="2162">
        <f>IF(Q39&lt;='0 Úvod'!$G$18+'0 Úvod'!$J$18-1,(Q26+Q27)-(Q11+Q12),0)</f>
        <v>-116071757.94376934</v>
      </c>
      <c r="R41" s="2162">
        <f>IF(R39&lt;='0 Úvod'!$G$18+'0 Úvod'!$J$18-1,(R26+R27)-(R11+R12),0)</f>
        <v>1113233.4904803727</v>
      </c>
      <c r="S41" s="2163">
        <f>IF(S39&lt;='0 Úvod'!$G$18+'0 Úvod'!$J$18-1,(S26+S27)-(S11+S12),0)</f>
        <v>-137243501.46663338</v>
      </c>
      <c r="T41" s="208"/>
      <c r="U41" s="208"/>
      <c r="V41" s="208"/>
      <c r="W41" s="208"/>
      <c r="X41" s="208"/>
      <c r="Y41" s="208"/>
      <c r="Z41" s="208"/>
      <c r="AA41" s="208"/>
      <c r="AB41" s="208"/>
      <c r="AC41" s="208"/>
    </row>
    <row r="42" spans="2:43" s="207" customFormat="1" ht="14.25" x14ac:dyDescent="0.3">
      <c r="B42" s="1015" t="s">
        <v>13</v>
      </c>
      <c r="C42" s="59" t="str">
        <f t="shared" ref="C42:C44" si="14">C35</f>
        <v>Redukce provozních dotací</v>
      </c>
      <c r="D42" s="1018"/>
      <c r="E42" s="2164">
        <f>IF(E39&lt;='0 Úvod'!$G$18+'0 Úvod'!$J$18-1,E29-E14,0)</f>
        <v>1091500.8055778686</v>
      </c>
      <c r="F42" s="2165">
        <f>IF(F39&lt;='0 Úvod'!$G$18+'0 Úvod'!$J$18-1,F29-F14,0)</f>
        <v>1093122.9818322901</v>
      </c>
      <c r="G42" s="2165">
        <f>IF(G39&lt;='0 Úvod'!$G$18+'0 Úvod'!$J$18-1,G29-G14,0)</f>
        <v>1094753.2689679824</v>
      </c>
      <c r="H42" s="2165">
        <f>IF(H39&lt;='0 Úvod'!$G$18+'0 Úvod'!$J$18-1,H29-H14,0)</f>
        <v>1096391.7075393554</v>
      </c>
      <c r="I42" s="2165">
        <f>IF(I39&lt;='0 Úvod'!$G$18+'0 Úvod'!$J$18-1,I29-I14,0)</f>
        <v>1098038.3383035827</v>
      </c>
      <c r="J42" s="2165">
        <f>IF(J39&lt;='0 Úvod'!$G$18+'0 Úvod'!$J$18-1,J29-J14,0)</f>
        <v>1099693.2022216357</v>
      </c>
      <c r="K42" s="2165">
        <f>IF(K39&lt;='0 Úvod'!$G$18+'0 Úvod'!$J$18-1,K29-K14,0)</f>
        <v>1101356.340459276</v>
      </c>
      <c r="L42" s="2165">
        <f>IF(L39&lt;='0 Úvod'!$G$18+'0 Úvod'!$J$18-1,L29-L14,0)</f>
        <v>-6232010.2313405592</v>
      </c>
      <c r="M42" s="2165">
        <f>IF(M39&lt;='0 Úvod'!$G$18+'0 Úvod'!$J$18-1,M29-M14,0)</f>
        <v>1104707.6055865772</v>
      </c>
      <c r="N42" s="2165">
        <f>IF(N39&lt;='0 Úvod'!$G$18+'0 Úvod'!$J$18-1,N29-N14,0)</f>
        <v>1106395.8158410396</v>
      </c>
      <c r="O42" s="2165">
        <f>IF(O39&lt;='0 Úvod'!$G$18+'0 Úvod'!$J$18-1,O29-O14,0)</f>
        <v>1108092.4671467785</v>
      </c>
      <c r="P42" s="2165">
        <f>IF(P39&lt;='0 Úvod'!$G$18+'0 Úvod'!$J$18-1,P29-P14,0)</f>
        <v>1109797.6017090436</v>
      </c>
      <c r="Q42" s="2165">
        <f>IF(Q39&lt;='0 Úvod'!$G$18+'0 Úvod'!$J$18-1,Q29-Q14,0)</f>
        <v>-116071757.94376934</v>
      </c>
      <c r="R42" s="2165">
        <f>IF(R39&lt;='0 Úvod'!$G$18+'0 Úvod'!$J$18-1,R29-R14,0)</f>
        <v>1113233.4904803727</v>
      </c>
      <c r="S42" s="2166">
        <f>IF(S39&lt;='0 Úvod'!$G$18+'0 Úvod'!$J$18-1,S29-S14,0)</f>
        <v>-137243501.46663338</v>
      </c>
      <c r="T42" s="208"/>
      <c r="U42" s="208"/>
      <c r="V42" s="208"/>
      <c r="W42" s="208"/>
      <c r="X42" s="208"/>
      <c r="Y42" s="208"/>
      <c r="Z42" s="208"/>
      <c r="AA42" s="208"/>
      <c r="AB42" s="208"/>
      <c r="AC42" s="208"/>
    </row>
    <row r="43" spans="2:43" s="207" customFormat="1" ht="15" thickBot="1" x14ac:dyDescent="0.35">
      <c r="B43" s="1015"/>
      <c r="C43" s="1016" t="str">
        <f t="shared" si="14"/>
        <v>Je snížení prov. nákladů plně kompenzováno snížením dotací</v>
      </c>
      <c r="D43" s="1018"/>
      <c r="E43" s="1021" t="str">
        <f>IF('0 Úvod'!$M$10="English",IF(E42&gt;=E41,Slovnik!$D$628,Slovnik!$D$629),IF(E42&gt;=E41,Slovnik!$C$628,Slovnik!$C$629))</f>
        <v>ANO</v>
      </c>
      <c r="F43" s="1022" t="str">
        <f>IF('0 Úvod'!$M$10="English",IF(F42&gt;=F41,Slovnik!$D$628,Slovnik!$D$629),IF(F42&gt;=F41,Slovnik!$C$628,Slovnik!$C$629))</f>
        <v>ANO</v>
      </c>
      <c r="G43" s="1022" t="str">
        <f>IF('0 Úvod'!$M$10="English",IF(G42&gt;=G41,Slovnik!$D$628,Slovnik!$D$629),IF(G42&gt;=G41,Slovnik!$C$628,Slovnik!$C$629))</f>
        <v>ANO</v>
      </c>
      <c r="H43" s="1022" t="str">
        <f>IF('0 Úvod'!$M$10="English",IF(H42&gt;=H41,Slovnik!$D$628,Slovnik!$D$629),IF(H42&gt;=H41,Slovnik!$C$628,Slovnik!$C$629))</f>
        <v>ANO</v>
      </c>
      <c r="I43" s="1022" t="str">
        <f>IF('0 Úvod'!$M$10="English",IF(I42&gt;=I41,Slovnik!$D$628,Slovnik!$D$629),IF(I42&gt;=I41,Slovnik!$C$628,Slovnik!$C$629))</f>
        <v>ANO</v>
      </c>
      <c r="J43" s="1022" t="str">
        <f>IF('0 Úvod'!$M$10="English",IF(J42&gt;=J41,Slovnik!$D$628,Slovnik!$D$629),IF(J42&gt;=J41,Slovnik!$C$628,Slovnik!$C$629))</f>
        <v>ANO</v>
      </c>
      <c r="K43" s="1022" t="str">
        <f>IF('0 Úvod'!$M$10="English",IF(K42&gt;=K41,Slovnik!$D$628,Slovnik!$D$629),IF(K42&gt;=K41,Slovnik!$C$628,Slovnik!$C$629))</f>
        <v>ANO</v>
      </c>
      <c r="L43" s="1022" t="str">
        <f>IF('0 Úvod'!$M$10="English",IF(L42&gt;=L41,Slovnik!$D$628,Slovnik!$D$629),IF(L42&gt;=L41,Slovnik!$C$628,Slovnik!$C$629))</f>
        <v>ANO</v>
      </c>
      <c r="M43" s="1022" t="str">
        <f>IF('0 Úvod'!$M$10="English",IF(M42&gt;=M41,Slovnik!$D$628,Slovnik!$D$629),IF(M42&gt;=M41,Slovnik!$C$628,Slovnik!$C$629))</f>
        <v>ANO</v>
      </c>
      <c r="N43" s="1022" t="str">
        <f>IF('0 Úvod'!$M$10="English",IF(N42&gt;=N41,Slovnik!$D$628,Slovnik!$D$629),IF(N42&gt;=N41,Slovnik!$C$628,Slovnik!$C$629))</f>
        <v>ANO</v>
      </c>
      <c r="O43" s="1022" t="str">
        <f>IF('0 Úvod'!$M$10="English",IF(O42&gt;=O41,Slovnik!$D$628,Slovnik!$D$629),IF(O42&gt;=O41,Slovnik!$C$628,Slovnik!$C$629))</f>
        <v>ANO</v>
      </c>
      <c r="P43" s="1022" t="str">
        <f>IF('0 Úvod'!$M$10="English",IF(P42&gt;=P41,Slovnik!$D$628,Slovnik!$D$629),IF(P42&gt;=P41,Slovnik!$C$628,Slovnik!$C$629))</f>
        <v>ANO</v>
      </c>
      <c r="Q43" s="1022" t="str">
        <f>IF('0 Úvod'!$M$10="English",IF(Q42&gt;=Q41,Slovnik!$D$628,Slovnik!$D$629),IF(Q42&gt;=Q41,Slovnik!$C$628,Slovnik!$C$629))</f>
        <v>ANO</v>
      </c>
      <c r="R43" s="1022" t="str">
        <f>IF('0 Úvod'!$M$10="English",IF(R42&gt;=R41,Slovnik!$D$628,Slovnik!$D$629),IF(R42&gt;=R41,Slovnik!$C$628,Slovnik!$C$629))</f>
        <v>ANO</v>
      </c>
      <c r="S43" s="1023" t="str">
        <f>IF('0 Úvod'!$M$10="English",IF(S42&gt;=S41,Slovnik!$D$628,Slovnik!$D$629),IF(S42&gt;=S41,Slovnik!$C$628,Slovnik!$C$629))</f>
        <v>ANO</v>
      </c>
      <c r="T43" s="986"/>
      <c r="U43" s="986"/>
      <c r="V43" s="986"/>
      <c r="W43" s="986"/>
      <c r="X43" s="986"/>
      <c r="Y43" s="986"/>
      <c r="Z43" s="986"/>
      <c r="AA43" s="986"/>
      <c r="AB43" s="986"/>
      <c r="AC43" s="986"/>
    </row>
    <row r="44" spans="2:43" s="207" customFormat="1" ht="15" thickBot="1" x14ac:dyDescent="0.35">
      <c r="B44" s="999" t="s">
        <v>14</v>
      </c>
      <c r="C44" s="1000" t="str">
        <f t="shared" si="14"/>
        <v>Čistá úspora provozních nákladů**</v>
      </c>
      <c r="D44" s="1005"/>
      <c r="E44" s="1002">
        <f t="shared" ref="E44:S44" si="15">E42-E41</f>
        <v>0</v>
      </c>
      <c r="F44" s="1003">
        <f t="shared" si="15"/>
        <v>0</v>
      </c>
      <c r="G44" s="1003">
        <f t="shared" si="15"/>
        <v>0</v>
      </c>
      <c r="H44" s="1003">
        <f t="shared" si="15"/>
        <v>0</v>
      </c>
      <c r="I44" s="1003">
        <f t="shared" si="15"/>
        <v>0</v>
      </c>
      <c r="J44" s="1003">
        <f t="shared" si="15"/>
        <v>0</v>
      </c>
      <c r="K44" s="1003">
        <f t="shared" si="15"/>
        <v>0</v>
      </c>
      <c r="L44" s="1003">
        <f t="shared" si="15"/>
        <v>0</v>
      </c>
      <c r="M44" s="1003">
        <f t="shared" si="15"/>
        <v>0</v>
      </c>
      <c r="N44" s="1003">
        <f t="shared" si="15"/>
        <v>0</v>
      </c>
      <c r="O44" s="1003">
        <f t="shared" si="15"/>
        <v>0</v>
      </c>
      <c r="P44" s="1003">
        <f t="shared" si="15"/>
        <v>0</v>
      </c>
      <c r="Q44" s="1003">
        <f t="shared" si="15"/>
        <v>0</v>
      </c>
      <c r="R44" s="1003">
        <f t="shared" si="15"/>
        <v>0</v>
      </c>
      <c r="S44" s="1004">
        <f t="shared" si="15"/>
        <v>0</v>
      </c>
      <c r="T44" s="208"/>
      <c r="U44" s="208"/>
      <c r="V44" s="208"/>
      <c r="W44" s="208"/>
      <c r="X44" s="208"/>
      <c r="Y44" s="208"/>
      <c r="Z44" s="208"/>
      <c r="AA44" s="208"/>
      <c r="AB44" s="208"/>
      <c r="AC44" s="208"/>
      <c r="AD44" s="25"/>
    </row>
    <row r="45" spans="2:43" x14ac:dyDescent="0.3">
      <c r="E45" s="987"/>
      <c r="F45" s="987"/>
      <c r="G45" s="987"/>
      <c r="H45" s="987"/>
      <c r="I45" s="987"/>
      <c r="J45" s="987"/>
      <c r="K45" s="987"/>
      <c r="L45" s="987"/>
      <c r="M45" s="987"/>
      <c r="N45" s="987"/>
      <c r="O45" s="987"/>
      <c r="P45" s="987"/>
      <c r="Q45" s="987"/>
      <c r="R45" s="987"/>
      <c r="S45" s="987"/>
    </row>
    <row r="46" spans="2:43" ht="14.25" thickBot="1" x14ac:dyDescent="0.35"/>
    <row r="47" spans="2:43" ht="10.15" customHeight="1" x14ac:dyDescent="0.3">
      <c r="B47" s="2286" t="str">
        <f>IF('0 Úvod'!$M$10="English",Slovnik!$D$627,Slovnik!$C$627)</f>
        <v>Komentáře</v>
      </c>
      <c r="C47" s="2287"/>
      <c r="D47" s="2287"/>
      <c r="E47" s="2287"/>
      <c r="F47" s="2287"/>
      <c r="G47" s="2287"/>
      <c r="H47" s="2287"/>
      <c r="I47" s="2287"/>
      <c r="J47" s="2287"/>
      <c r="K47" s="2287"/>
      <c r="L47" s="2287"/>
      <c r="M47" s="2287"/>
      <c r="N47" s="2287"/>
      <c r="O47" s="2287"/>
      <c r="P47" s="2287"/>
      <c r="Q47" s="2287"/>
      <c r="R47" s="2287"/>
      <c r="S47" s="2655"/>
    </row>
    <row r="48" spans="2:43" ht="10.9" customHeight="1" thickBot="1" x14ac:dyDescent="0.35">
      <c r="B48" s="2656"/>
      <c r="C48" s="2657"/>
      <c r="D48" s="2657"/>
      <c r="E48" s="2657"/>
      <c r="F48" s="2657"/>
      <c r="G48" s="2657"/>
      <c r="H48" s="2657"/>
      <c r="I48" s="2657"/>
      <c r="J48" s="2657"/>
      <c r="K48" s="2657"/>
      <c r="L48" s="2657"/>
      <c r="M48" s="2657"/>
      <c r="N48" s="2657"/>
      <c r="O48" s="2657"/>
      <c r="P48" s="2657"/>
      <c r="Q48" s="2657"/>
      <c r="R48" s="2657"/>
      <c r="S48" s="2658"/>
    </row>
    <row r="49" spans="2:19" ht="14.25" x14ac:dyDescent="0.3">
      <c r="B49" s="988" t="str">
        <f>IF('0 Úvod'!$M$10="English",Slovnik!$E$619,Slovnik!$E$618)</f>
        <v>* příjmy získané přímo od uživatelů, v souladu s čl. 61 (Operace, které po dokončení vytvářejí čistý příjem) Nařízení (EU) č. 1303/2013 a přílohou V Nařízení (EU) č. 1303/2013 a oddílem III Nařízení Komise v přenesené pravomoci (EU) č. 480/2014, v němž jsou stanovena pravidla pro výpočet</v>
      </c>
      <c r="C49" s="94"/>
      <c r="D49" s="94"/>
      <c r="L49" s="989"/>
      <c r="S49" s="990"/>
    </row>
    <row r="50" spans="2:19" ht="14.25" x14ac:dyDescent="0.3">
      <c r="B50" s="988" t="str">
        <f>IF('0 Úvod'!$M$10="English",Slovnik!$E$622,Slovnik!$E$621)</f>
        <v>diskontovaného čistého příjmu z operací vytvářejících čistý příjem</v>
      </c>
      <c r="C50" s="94"/>
      <c r="D50" s="94"/>
      <c r="L50" s="989"/>
      <c r="S50" s="990"/>
    </row>
    <row r="51" spans="2:19" ht="14.25" x14ac:dyDescent="0.3">
      <c r="B51" s="1817" t="str">
        <f>IF('0 Úvod'!$M$10="English",Slovnik!$E$625,Slovnik!$E$624)</f>
        <v>** rozdíl mezi poklesem provozních nákladů a poklesem provozních dotací</v>
      </c>
      <c r="C51" s="94"/>
      <c r="D51" s="94"/>
      <c r="E51" s="1822"/>
      <c r="F51" s="1822"/>
      <c r="G51" s="1822"/>
      <c r="H51" s="1822"/>
      <c r="I51" s="1822"/>
      <c r="J51" s="1822"/>
      <c r="K51" s="1822"/>
      <c r="L51" s="1822"/>
      <c r="M51" s="1822"/>
      <c r="N51" s="1822"/>
      <c r="O51" s="1822"/>
      <c r="P51" s="94"/>
      <c r="Q51" s="96"/>
      <c r="R51" s="96"/>
      <c r="S51" s="1823"/>
    </row>
    <row r="52" spans="2:19" ht="15" thickBot="1" x14ac:dyDescent="0.35">
      <c r="B52" s="1818" t="str">
        <f>IF('0 Úvod'!$M$10="English",Slovnik!$E$649,Slovnik!$E$648)</f>
        <v>Tento list se neaplikuje v případě projektů silniční infrastruktury. V případě projektů městské dopravy a jiných s odlišnou dotační politikou je možné upravit ručně příslušná pole v tabulkách výše.</v>
      </c>
      <c r="C52" s="1037"/>
      <c r="D52" s="1037"/>
      <c r="E52" s="1819"/>
      <c r="F52" s="1819"/>
      <c r="G52" s="1819"/>
      <c r="H52" s="1819"/>
      <c r="I52" s="1819"/>
      <c r="J52" s="1819"/>
      <c r="K52" s="1819"/>
      <c r="L52" s="1819"/>
      <c r="M52" s="1819"/>
      <c r="N52" s="1819"/>
      <c r="O52" s="1819"/>
      <c r="P52" s="1037"/>
      <c r="Q52" s="1820"/>
      <c r="R52" s="1820"/>
      <c r="S52" s="1821"/>
    </row>
    <row r="53" spans="2:19" x14ac:dyDescent="0.3">
      <c r="E53" s="207"/>
      <c r="F53" s="992"/>
      <c r="G53" s="207"/>
      <c r="H53" s="207"/>
      <c r="I53" s="207"/>
      <c r="J53" s="207"/>
      <c r="K53" s="207"/>
      <c r="L53" s="207"/>
      <c r="M53" s="207"/>
      <c r="N53" s="207"/>
      <c r="O53" s="207"/>
      <c r="P53" s="207"/>
    </row>
    <row r="54" spans="2:19" x14ac:dyDescent="0.3">
      <c r="E54" s="207"/>
      <c r="F54" s="207"/>
      <c r="G54" s="207"/>
      <c r="H54" s="207"/>
      <c r="I54" s="207"/>
      <c r="J54" s="207"/>
      <c r="K54" s="207"/>
      <c r="L54" s="207"/>
      <c r="M54" s="207"/>
      <c r="N54" s="207"/>
      <c r="O54" s="207"/>
      <c r="P54" s="207"/>
    </row>
  </sheetData>
  <sheetProtection algorithmName="SHA-512" hashValue="EXYBHBaxls5EJ5kgTvacm6bzojel+ibhNukgUHqxkQ7W/ILlR+kfSqXbWJSPj2MuCxVnUvxTBjb5co/KCLTo/A==" saltValue="Wpc6eM5Iph90me4rnwC27A==" spinCount="100000" sheet="1" formatCells="0" formatColumns="0" formatRows="0" insertColumns="0" insertRows="0" insertHyperlinks="0" deleteColumns="0" deleteRows="0" sort="0" autoFilter="0" pivotTables="0"/>
  <mergeCells count="91">
    <mergeCell ref="E17:E18"/>
    <mergeCell ref="F17:F18"/>
    <mergeCell ref="F9:F10"/>
    <mergeCell ref="G17:G18"/>
    <mergeCell ref="G2:G3"/>
    <mergeCell ref="E9:E10"/>
    <mergeCell ref="G9:G10"/>
    <mergeCell ref="E2:E3"/>
    <mergeCell ref="F2:F3"/>
    <mergeCell ref="R2:R3"/>
    <mergeCell ref="S2:S3"/>
    <mergeCell ref="H2:H3"/>
    <mergeCell ref="I2:I3"/>
    <mergeCell ref="J2:J3"/>
    <mergeCell ref="K2:K3"/>
    <mergeCell ref="L2:L3"/>
    <mergeCell ref="M2:M3"/>
    <mergeCell ref="N2:N3"/>
    <mergeCell ref="O2:O3"/>
    <mergeCell ref="P2:P3"/>
    <mergeCell ref="Q2:Q3"/>
    <mergeCell ref="S17:S18"/>
    <mergeCell ref="K17:K18"/>
    <mergeCell ref="H9:H10"/>
    <mergeCell ref="I9:I10"/>
    <mergeCell ref="H17:H18"/>
    <mergeCell ref="I17:I18"/>
    <mergeCell ref="J17:J18"/>
    <mergeCell ref="J9:J10"/>
    <mergeCell ref="K9:K10"/>
    <mergeCell ref="S9:S10"/>
    <mergeCell ref="N9:N10"/>
    <mergeCell ref="O9:O10"/>
    <mergeCell ref="P9:P10"/>
    <mergeCell ref="Q9:Q10"/>
    <mergeCell ref="R9:R10"/>
    <mergeCell ref="L9:L10"/>
    <mergeCell ref="M9:M10"/>
    <mergeCell ref="N17:N18"/>
    <mergeCell ref="O17:O18"/>
    <mergeCell ref="R17:R18"/>
    <mergeCell ref="L17:L18"/>
    <mergeCell ref="M17:M18"/>
    <mergeCell ref="P17:P18"/>
    <mergeCell ref="Q17:Q18"/>
    <mergeCell ref="G39:G40"/>
    <mergeCell ref="P32:P33"/>
    <mergeCell ref="Q32:Q33"/>
    <mergeCell ref="O24:O25"/>
    <mergeCell ref="P24:P25"/>
    <mergeCell ref="J32:J33"/>
    <mergeCell ref="K32:K33"/>
    <mergeCell ref="Q39:Q40"/>
    <mergeCell ref="P39:P40"/>
    <mergeCell ref="K39:K40"/>
    <mergeCell ref="J39:J40"/>
    <mergeCell ref="N39:N40"/>
    <mergeCell ref="O39:O40"/>
    <mergeCell ref="L39:L40"/>
    <mergeCell ref="M39:M40"/>
    <mergeCell ref="E32:E33"/>
    <mergeCell ref="F32:F33"/>
    <mergeCell ref="G32:G33"/>
    <mergeCell ref="Q24:Q25"/>
    <mergeCell ref="E24:E25"/>
    <mergeCell ref="F24:F25"/>
    <mergeCell ref="G24:G25"/>
    <mergeCell ref="H24:H25"/>
    <mergeCell ref="K24:K25"/>
    <mergeCell ref="L24:L25"/>
    <mergeCell ref="J24:J25"/>
    <mergeCell ref="L32:L33"/>
    <mergeCell ref="M32:M33"/>
    <mergeCell ref="N32:N33"/>
    <mergeCell ref="O32:O33"/>
    <mergeCell ref="B47:S48"/>
    <mergeCell ref="I24:I25"/>
    <mergeCell ref="H39:H40"/>
    <mergeCell ref="I39:I40"/>
    <mergeCell ref="E39:E40"/>
    <mergeCell ref="F39:F40"/>
    <mergeCell ref="H32:H33"/>
    <mergeCell ref="I32:I33"/>
    <mergeCell ref="S24:S25"/>
    <mergeCell ref="N24:N25"/>
    <mergeCell ref="R24:R25"/>
    <mergeCell ref="M24:M25"/>
    <mergeCell ref="R39:R40"/>
    <mergeCell ref="S39:S40"/>
    <mergeCell ref="R32:R33"/>
    <mergeCell ref="S32:S33"/>
  </mergeCells>
  <phoneticPr fontId="9" type="noConversion"/>
  <pageMargins left="0.39370078740157483" right="0.15748031496062992" top="0.98425196850393704" bottom="0.78740157480314965" header="0.39370078740157483" footer="0.39370078740157483"/>
  <pageSetup paperSize="9" scale="52" orientation="landscape" r:id="rId1"/>
  <headerFooter alignWithMargins="0">
    <oddFooter>&amp;L&amp;A&amp;C&amp;D</oddFooter>
  </headerFooter>
  <ignoredErrors>
    <ignoredError sqref="E23:S23 E8:S8 E10:S10 F9:S9 E25:S25 F24:S24 E6:S6 E7:S7 E5:S5 E4:S4 E12:S13 E11:S11 E14:S14 E22:S22 E20:S21 E19:S19 E27:S28 E29:S29 E26:S26 E34:S35 E41:S42" unlockedFormula="1"/>
  </ignoredError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26">
    <tabColor rgb="FFFFFF99"/>
    <pageSetUpPr fitToPage="1"/>
  </sheetPr>
  <dimension ref="B1:AC53"/>
  <sheetViews>
    <sheetView defaultGridColor="0" colorId="23" zoomScale="80" zoomScaleNormal="80" workbookViewId="0"/>
  </sheetViews>
  <sheetFormatPr defaultColWidth="9.140625" defaultRowHeight="13.5" x14ac:dyDescent="0.3"/>
  <cols>
    <col min="1" max="1" width="2.7109375" style="1627" customWidth="1"/>
    <col min="2" max="2" width="6.85546875" style="1627" customWidth="1"/>
    <col min="3" max="3" width="36.28515625" style="1627" customWidth="1"/>
    <col min="4" max="4" width="19.28515625" style="1627" customWidth="1"/>
    <col min="5" max="20" width="10.7109375" style="1627" customWidth="1"/>
    <col min="21" max="21" width="10.7109375" style="1627" hidden="1" customWidth="1"/>
    <col min="22" max="29" width="10.7109375" style="1627" customWidth="1"/>
    <col min="30" max="33" width="7.140625" style="1627" customWidth="1"/>
    <col min="34" max="16384" width="9.140625" style="1627"/>
  </cols>
  <sheetData>
    <row r="1" spans="2:29" ht="14.25" thickBot="1" x14ac:dyDescent="0.35">
      <c r="B1" s="1627" t="s">
        <v>2</v>
      </c>
      <c r="F1" s="1628"/>
      <c r="G1" s="1629"/>
    </row>
    <row r="2" spans="2:29" s="946" customFormat="1" ht="14.25" x14ac:dyDescent="0.3">
      <c r="B2" s="993" t="s">
        <v>171</v>
      </c>
      <c r="C2" s="209" t="str">
        <f>IF('0 Úvod'!$M$10="English",Slovnik!D631,Slovnik!C631)</f>
        <v>Kalkulace finanční mezery a přidělení</v>
      </c>
      <c r="D2" s="994"/>
      <c r="E2" s="2323">
        <f>'0 Úvod'!G18</f>
        <v>2021</v>
      </c>
      <c r="F2" s="2323">
        <f t="shared" ref="F2:S2" si="0">E2+1</f>
        <v>2022</v>
      </c>
      <c r="G2" s="2323">
        <f t="shared" si="0"/>
        <v>2023</v>
      </c>
      <c r="H2" s="2323">
        <f t="shared" si="0"/>
        <v>2024</v>
      </c>
      <c r="I2" s="2323">
        <f t="shared" si="0"/>
        <v>2025</v>
      </c>
      <c r="J2" s="2323">
        <f t="shared" si="0"/>
        <v>2026</v>
      </c>
      <c r="K2" s="2323">
        <f t="shared" si="0"/>
        <v>2027</v>
      </c>
      <c r="L2" s="2323">
        <f t="shared" si="0"/>
        <v>2028</v>
      </c>
      <c r="M2" s="2323">
        <f t="shared" si="0"/>
        <v>2029</v>
      </c>
      <c r="N2" s="2323">
        <f t="shared" si="0"/>
        <v>2030</v>
      </c>
      <c r="O2" s="2323">
        <f t="shared" si="0"/>
        <v>2031</v>
      </c>
      <c r="P2" s="2323">
        <f t="shared" si="0"/>
        <v>2032</v>
      </c>
      <c r="Q2" s="2323">
        <f t="shared" si="0"/>
        <v>2033</v>
      </c>
      <c r="R2" s="2323">
        <f t="shared" si="0"/>
        <v>2034</v>
      </c>
      <c r="S2" s="2329">
        <f t="shared" si="0"/>
        <v>2035</v>
      </c>
      <c r="T2" s="977"/>
      <c r="U2" s="978"/>
      <c r="V2" s="978"/>
      <c r="W2" s="978"/>
      <c r="X2" s="978"/>
      <c r="Y2" s="978"/>
      <c r="Z2" s="978"/>
      <c r="AA2" s="978"/>
      <c r="AB2" s="978"/>
      <c r="AC2" s="978"/>
    </row>
    <row r="3" spans="2:29" s="946" customFormat="1" ht="15" thickBot="1" x14ac:dyDescent="0.35">
      <c r="B3" s="210" t="s">
        <v>23</v>
      </c>
      <c r="C3" s="1634" t="str">
        <f>IF('0 Úvod'!$M$10="English",Slovnik!D632,Slovnik!C632)</f>
        <v>grantu EU (CZK)</v>
      </c>
      <c r="D3" s="212" t="str">
        <f>IF('0 Úvod'!$M$10="English",Slovnik!$D$640,Slovnik!$C$640)</f>
        <v>Celkem (disk.)</v>
      </c>
      <c r="E3" s="2662"/>
      <c r="F3" s="2662"/>
      <c r="G3" s="2662"/>
      <c r="H3" s="2662"/>
      <c r="I3" s="2662"/>
      <c r="J3" s="2662"/>
      <c r="K3" s="2662"/>
      <c r="L3" s="2662"/>
      <c r="M3" s="2662"/>
      <c r="N3" s="2662"/>
      <c r="O3" s="2662"/>
      <c r="P3" s="2662"/>
      <c r="Q3" s="2662"/>
      <c r="R3" s="2662"/>
      <c r="S3" s="2663"/>
      <c r="T3" s="977"/>
      <c r="U3" s="978"/>
      <c r="V3" s="978"/>
      <c r="W3" s="978"/>
      <c r="X3" s="978"/>
      <c r="Y3" s="978"/>
      <c r="Z3" s="978"/>
      <c r="AA3" s="978"/>
      <c r="AB3" s="978"/>
      <c r="AC3" s="978"/>
    </row>
    <row r="4" spans="2:29" ht="14.25" x14ac:dyDescent="0.3">
      <c r="B4" s="1637" t="s">
        <v>5</v>
      </c>
      <c r="C4" s="1415" t="str">
        <f>IF('0 Úvod'!$M$10="English",Slovnik!D633,Slovnik!C633)</f>
        <v>Investiční náklady (DIC) (z FA)</v>
      </c>
      <c r="D4" s="1641">
        <f>E4+NPV(D9,F4:S4,E14:S14)</f>
        <v>719307760.42519391</v>
      </c>
      <c r="E4" s="1548">
        <f>'10 Finanční analýza (FRR_C)'!E8</f>
        <v>86484854.854751453</v>
      </c>
      <c r="F4" s="1540">
        <f>'10 Finanční analýza (FRR_C)'!F8</f>
        <v>644597564.10095239</v>
      </c>
      <c r="G4" s="1540">
        <f>'10 Finanční analýza (FRR_C)'!G8</f>
        <v>14079788</v>
      </c>
      <c r="H4" s="1540">
        <f>'10 Finanční analýza (FRR_C)'!H8</f>
        <v>0</v>
      </c>
      <c r="I4" s="1540">
        <f>'10 Finanční analýza (FRR_C)'!I8</f>
        <v>0</v>
      </c>
      <c r="J4" s="1540">
        <f>'10 Finanční analýza (FRR_C)'!J8</f>
        <v>0</v>
      </c>
      <c r="K4" s="1540">
        <f>'10 Finanční analýza (FRR_C)'!K8</f>
        <v>0</v>
      </c>
      <c r="L4" s="1540">
        <f>'10 Finanční analýza (FRR_C)'!L8</f>
        <v>0</v>
      </c>
      <c r="M4" s="1540">
        <f>'10 Finanční analýza (FRR_C)'!M8</f>
        <v>0</v>
      </c>
      <c r="N4" s="1540">
        <f>'10 Finanční analýza (FRR_C)'!N8</f>
        <v>0</v>
      </c>
      <c r="O4" s="1540">
        <f>'10 Finanční analýza (FRR_C)'!O8</f>
        <v>0</v>
      </c>
      <c r="P4" s="1540">
        <f>'10 Finanční analýza (FRR_C)'!P8</f>
        <v>0</v>
      </c>
      <c r="Q4" s="1540">
        <f>'10 Finanční analýza (FRR_C)'!Q8</f>
        <v>0</v>
      </c>
      <c r="R4" s="1540">
        <f>'10 Finanční analýza (FRR_C)'!R8</f>
        <v>0</v>
      </c>
      <c r="S4" s="1541">
        <f>'10 Finanční analýza (FRR_C)'!S8</f>
        <v>0</v>
      </c>
      <c r="T4" s="1371"/>
      <c r="U4" s="1371"/>
      <c r="V4" s="1371"/>
      <c r="W4" s="1371"/>
      <c r="X4" s="1371"/>
      <c r="Y4" s="1371"/>
      <c r="Z4" s="1371"/>
      <c r="AA4" s="1371"/>
      <c r="AB4" s="1371"/>
      <c r="AC4" s="1371"/>
    </row>
    <row r="5" spans="2:29" ht="14.25" x14ac:dyDescent="0.3">
      <c r="B5" s="1637" t="s">
        <v>6</v>
      </c>
      <c r="C5" s="1418" t="str">
        <f>IF('0 Úvod'!$M$10="English",Slovnik!D634,Slovnik!C634)</f>
        <v>Přírůstkové celkové provozní příjmy**</v>
      </c>
      <c r="D5" s="1642">
        <f>E5+NPV(D9,F5:S5,E15:S15)</f>
        <v>6807008.1360946735</v>
      </c>
      <c r="E5" s="1619">
        <f>IF(E2&lt;='0 Úvod'!$G$18+'0 Úvod'!$J$18-1,('8 Příjmy'!E37),0)</f>
        <v>0</v>
      </c>
      <c r="F5" s="1542">
        <f>IF(F2&lt;='0 Úvod'!$G$18+'0 Úvod'!$J$18-1,('8 Příjmy'!F37),0)</f>
        <v>0</v>
      </c>
      <c r="G5" s="1542">
        <f>IF(G2&lt;='0 Úvod'!$G$18+'0 Úvod'!$J$18-1,('8 Příjmy'!G37),0)</f>
        <v>7362460</v>
      </c>
      <c r="H5" s="1542">
        <f>IF(H2&lt;='0 Úvod'!$G$18+'0 Úvod'!$J$18-1,('8 Příjmy'!H37),0)</f>
        <v>0</v>
      </c>
      <c r="I5" s="1542">
        <f>IF(I2&lt;='0 Úvod'!$G$18+'0 Úvod'!$J$18-1,('8 Příjmy'!I37),0)</f>
        <v>0</v>
      </c>
      <c r="J5" s="1542">
        <f>IF(J2&lt;='0 Úvod'!$G$18+'0 Úvod'!$J$18-1,('8 Příjmy'!J37),0)</f>
        <v>0</v>
      </c>
      <c r="K5" s="1542">
        <f>IF(K2&lt;='0 Úvod'!$G$18+'0 Úvod'!$J$18-1,('8 Příjmy'!K37),0)</f>
        <v>0</v>
      </c>
      <c r="L5" s="1542">
        <f>IF(L2&lt;='0 Úvod'!$G$18+'0 Úvod'!$J$18-1,('8 Příjmy'!L37),0)</f>
        <v>0</v>
      </c>
      <c r="M5" s="1542">
        <f>IF(M2&lt;='0 Úvod'!$G$18+'0 Úvod'!$J$18-1,('8 Příjmy'!M37),0)</f>
        <v>0</v>
      </c>
      <c r="N5" s="1542">
        <f>IF(N2&lt;='0 Úvod'!$G$18+'0 Úvod'!$J$18-1,('8 Příjmy'!N37),0)</f>
        <v>0</v>
      </c>
      <c r="O5" s="1542">
        <f>IF(O2&lt;='0 Úvod'!$G$18+'0 Úvod'!$J$18-1,('8 Příjmy'!O37),0)</f>
        <v>0</v>
      </c>
      <c r="P5" s="1542">
        <f>IF(P2&lt;='0 Úvod'!$G$18+'0 Úvod'!$J$18-1,('8 Příjmy'!P37),0)</f>
        <v>0</v>
      </c>
      <c r="Q5" s="1542">
        <f>IF(Q2&lt;='0 Úvod'!$G$18+'0 Úvod'!$J$18-1,('8 Příjmy'!Q37),0)</f>
        <v>0</v>
      </c>
      <c r="R5" s="1542">
        <f>IF(R2&lt;='0 Úvod'!$G$18+'0 Úvod'!$J$18-1,('8 Příjmy'!R37),0)</f>
        <v>0</v>
      </c>
      <c r="S5" s="1543">
        <f>IF(S2&lt;='0 Úvod'!$G$18+'0 Úvod'!$J$18-1,('8 Příjmy'!S37),0)</f>
        <v>0</v>
      </c>
      <c r="T5" s="1371"/>
      <c r="U5" s="1371"/>
      <c r="V5" s="1371"/>
      <c r="W5" s="1371"/>
      <c r="X5" s="1371"/>
      <c r="Y5" s="1371"/>
      <c r="Z5" s="1371"/>
      <c r="AA5" s="1371"/>
      <c r="AB5" s="1371"/>
      <c r="AC5" s="1371"/>
    </row>
    <row r="6" spans="2:29" ht="14.25" x14ac:dyDescent="0.3">
      <c r="B6" s="1637" t="s">
        <v>7</v>
      </c>
      <c r="C6" s="1116" t="str">
        <f>IF('0 Úvod'!$M$10="English",Slovnik!D635,Slovnik!C635)</f>
        <v>Přírůstkové celkové provozní náklady*</v>
      </c>
      <c r="D6" s="1642">
        <f>E6+NPV(D9,F6:S6,E16:S16)</f>
        <v>-257725839.12817475</v>
      </c>
      <c r="E6" s="1619">
        <f>'10 Finanční analýza (FRR_C)'!E6</f>
        <v>0</v>
      </c>
      <c r="F6" s="1542">
        <f>'10 Finanční analýza (FRR_C)'!F6</f>
        <v>0</v>
      </c>
      <c r="G6" s="1542">
        <f>'10 Finanční analýza (FRR_C)'!G6</f>
        <v>-253671132.51507545</v>
      </c>
      <c r="H6" s="1542">
        <f>'10 Finanční analýza (FRR_C)'!H6</f>
        <v>-1072652.8498773426</v>
      </c>
      <c r="I6" s="1542">
        <f>'10 Finanční analýza (FRR_C)'!I6</f>
        <v>-1074180.7863532621</v>
      </c>
      <c r="J6" s="1542">
        <f>'10 Finanční analýza (FRR_C)'!J6</f>
        <v>-1075716.3625115603</v>
      </c>
      <c r="K6" s="1542">
        <f>'10 Finanční analýza (FRR_C)'!K6</f>
        <v>-1077259.6165506504</v>
      </c>
      <c r="L6" s="1542">
        <f>'10 Finanční analýza (FRR_C)'!L6</f>
        <v>-1078810.586859935</v>
      </c>
      <c r="M6" s="1542">
        <f>'10 Finanční analýza (FRR_C)'!M6</f>
        <v>-130880369.31202076</v>
      </c>
      <c r="N6" s="1542">
        <f>'10 Finanční analýza (FRR_C)'!N6</f>
        <v>-1081935.8308074037</v>
      </c>
      <c r="O6" s="1542">
        <f>'10 Finanční analýza (FRR_C)'!O6</f>
        <v>-1083510.1821879726</v>
      </c>
      <c r="P6" s="1542">
        <f>'10 Finanční analýza (FRR_C)'!P6</f>
        <v>-1085092.4053254453</v>
      </c>
      <c r="Q6" s="1542">
        <f>'10 Finanční analýza (FRR_C)'!Q6</f>
        <v>-1086682.5395786036</v>
      </c>
      <c r="R6" s="1542">
        <f>'10 Finanční analýza (FRR_C)'!R6</f>
        <v>-1088280.6245030286</v>
      </c>
      <c r="S6" s="1543">
        <f>'10 Finanční analýza (FRR_C)'!S6</f>
        <v>-1089886.6998520764</v>
      </c>
      <c r="T6" s="1371"/>
      <c r="U6" s="1371"/>
      <c r="V6" s="1371"/>
      <c r="W6" s="1371"/>
      <c r="X6" s="1371"/>
      <c r="Y6" s="1371"/>
      <c r="Z6" s="1371"/>
      <c r="AA6" s="1371"/>
      <c r="AB6" s="1371"/>
      <c r="AC6" s="1371"/>
    </row>
    <row r="7" spans="2:29" ht="14.25" x14ac:dyDescent="0.3">
      <c r="B7" s="1637" t="s">
        <v>8</v>
      </c>
      <c r="C7" s="1418" t="str">
        <f>IF('0 Úvod'!$M$10="English",Slovnik!D636,Slovnik!C636)</f>
        <v>Čisté provozní příjmy</v>
      </c>
      <c r="D7" s="1642">
        <f>E7+NPV(D9,F7:S7,E17:S17)</f>
        <v>264532847.26426938</v>
      </c>
      <c r="E7" s="1619">
        <f>E5-E6</f>
        <v>0</v>
      </c>
      <c r="F7" s="1542">
        <f t="shared" ref="F7:S7" si="1">F5-F6</f>
        <v>0</v>
      </c>
      <c r="G7" s="1542">
        <f t="shared" si="1"/>
        <v>261033592.51507545</v>
      </c>
      <c r="H7" s="1542">
        <f t="shared" si="1"/>
        <v>1072652.8498773426</v>
      </c>
      <c r="I7" s="1542">
        <f t="shared" si="1"/>
        <v>1074180.7863532621</v>
      </c>
      <c r="J7" s="1542">
        <f t="shared" si="1"/>
        <v>1075716.3625115603</v>
      </c>
      <c r="K7" s="1542">
        <f t="shared" si="1"/>
        <v>1077259.6165506504</v>
      </c>
      <c r="L7" s="1542">
        <f t="shared" si="1"/>
        <v>1078810.586859935</v>
      </c>
      <c r="M7" s="1542">
        <f t="shared" si="1"/>
        <v>130880369.31202076</v>
      </c>
      <c r="N7" s="1542">
        <f t="shared" si="1"/>
        <v>1081935.8308074037</v>
      </c>
      <c r="O7" s="1542">
        <f t="shared" si="1"/>
        <v>1083510.1821879726</v>
      </c>
      <c r="P7" s="1542">
        <f t="shared" si="1"/>
        <v>1085092.4053254453</v>
      </c>
      <c r="Q7" s="1542">
        <f t="shared" si="1"/>
        <v>1086682.5395786036</v>
      </c>
      <c r="R7" s="1542">
        <f t="shared" si="1"/>
        <v>1088280.6245030286</v>
      </c>
      <c r="S7" s="1543">
        <f t="shared" si="1"/>
        <v>1089886.6998520764</v>
      </c>
      <c r="T7" s="1371"/>
      <c r="U7" s="1371"/>
      <c r="V7" s="1371"/>
      <c r="W7" s="1371"/>
      <c r="X7" s="1371"/>
      <c r="Y7" s="1371"/>
      <c r="Z7" s="1371"/>
      <c r="AA7" s="1371"/>
      <c r="AB7" s="1371"/>
      <c r="AC7" s="1371"/>
    </row>
    <row r="8" spans="2:29" ht="14.25" x14ac:dyDescent="0.3">
      <c r="B8" s="1637" t="s">
        <v>9</v>
      </c>
      <c r="C8" s="1418" t="str">
        <f>IF('0 Úvod'!$M$10="English",Slovnik!D637,Slovnik!C637)</f>
        <v>Zůstatková hodnota investice</v>
      </c>
      <c r="D8" s="1642">
        <f>E8+NPV(D9,F8:S8,E18:S18)</f>
        <v>-12141898.068414608</v>
      </c>
      <c r="E8" s="1619">
        <f>IF(E2='0 Úvod'!$G$18+'0 Úvod'!$J$18-1,-1*'2 ZH'!$D$47,0)</f>
        <v>0</v>
      </c>
      <c r="F8" s="1542">
        <f>IF(F2='0 Úvod'!$G$18+'0 Úvod'!$J$18-1,-1*'2 ZH'!$D$47,0)</f>
        <v>0</v>
      </c>
      <c r="G8" s="1542">
        <f>IF(G2='0 Úvod'!$G$18+'0 Úvod'!$J$18-1,-1*'2 ZH'!$D$47,0)</f>
        <v>0</v>
      </c>
      <c r="H8" s="1542">
        <f>IF(H2='0 Úvod'!$G$18+'0 Úvod'!$J$18-1,-1*'2 ZH'!$D$47,0)</f>
        <v>0</v>
      </c>
      <c r="I8" s="1542">
        <f>IF(I2='0 Úvod'!$G$18+'0 Úvod'!$J$18-1,-1*'2 ZH'!$D$47,0)</f>
        <v>0</v>
      </c>
      <c r="J8" s="1542">
        <f>IF(J2='0 Úvod'!$G$18+'0 Úvod'!$J$18-1,-1*'2 ZH'!$D$47,0)</f>
        <v>0</v>
      </c>
      <c r="K8" s="1542">
        <f>IF(K2='0 Úvod'!$G$18+'0 Úvod'!$J$18-1,-1*'2 ZH'!$D$47,0)</f>
        <v>0</v>
      </c>
      <c r="L8" s="1542">
        <f>IF(L2='0 Úvod'!$G$18+'0 Úvod'!$J$18-1,-1*'2 ZH'!$D$47,0)</f>
        <v>0</v>
      </c>
      <c r="M8" s="1542">
        <f>IF(M2='0 Úvod'!$G$18+'0 Úvod'!$J$18-1,-1*'2 ZH'!$D$47,0)</f>
        <v>0</v>
      </c>
      <c r="N8" s="1542">
        <f>IF(N2='0 Úvod'!$G$18+'0 Úvod'!$J$18-1,-1*'2 ZH'!$D$47,0)</f>
        <v>0</v>
      </c>
      <c r="O8" s="1542">
        <f>IF(O2='0 Úvod'!$G$18+'0 Úvod'!$J$18-1,-1*'2 ZH'!$D$47,0)</f>
        <v>0</v>
      </c>
      <c r="P8" s="1542">
        <f>IF(P2='0 Úvod'!$G$18+'0 Úvod'!$J$18-1,-1*'2 ZH'!$D$47,0)</f>
        <v>0</v>
      </c>
      <c r="Q8" s="1542">
        <f>IF(Q2='0 Úvod'!$G$18+'0 Úvod'!$J$18-1,-1*'2 ZH'!$D$47,0)</f>
        <v>0</v>
      </c>
      <c r="R8" s="1542">
        <f>IF(R2='0 Úvod'!$G$18+'0 Úvod'!$J$18-1,-1*'2 ZH'!$D$47,0)</f>
        <v>0</v>
      </c>
      <c r="S8" s="1543">
        <f>IF(S2='0 Úvod'!$G$18+'0 Úvod'!$J$18-1,-1*'2 ZH'!$D$47,0)</f>
        <v>0</v>
      </c>
      <c r="T8" s="1371"/>
      <c r="U8" s="1371"/>
      <c r="V8" s="1371"/>
      <c r="W8" s="1371"/>
      <c r="X8" s="1371"/>
      <c r="Y8" s="1371"/>
      <c r="Z8" s="1371"/>
      <c r="AA8" s="1371"/>
      <c r="AB8" s="1371"/>
      <c r="AC8" s="1371"/>
    </row>
    <row r="9" spans="2:29" ht="14.25" x14ac:dyDescent="0.3">
      <c r="B9" s="1638"/>
      <c r="C9" s="1418" t="str">
        <f>IF('0 Úvod'!$M$10="English",Slovnik!D638,Slovnik!C638)</f>
        <v>Diskontní faktor</v>
      </c>
      <c r="D9" s="1653">
        <f>'0 Úvod'!J20</f>
        <v>0.04</v>
      </c>
      <c r="E9" s="1644">
        <v>1</v>
      </c>
      <c r="F9" s="1574">
        <f>1/(1+$D$9)</f>
        <v>0.96153846153846145</v>
      </c>
      <c r="G9" s="1574">
        <f>F9/(1+$D$9)</f>
        <v>0.92455621301775137</v>
      </c>
      <c r="H9" s="1574">
        <f t="shared" ref="H9:S9" si="2">G9/(1+$D$9)</f>
        <v>0.88899635867091475</v>
      </c>
      <c r="I9" s="1574">
        <f t="shared" si="2"/>
        <v>0.85480419102972571</v>
      </c>
      <c r="J9" s="1574">
        <f t="shared" si="2"/>
        <v>0.82192710675935166</v>
      </c>
      <c r="K9" s="1574">
        <f t="shared" si="2"/>
        <v>0.79031452573014582</v>
      </c>
      <c r="L9" s="1574">
        <f t="shared" si="2"/>
        <v>0.75991781320206331</v>
      </c>
      <c r="M9" s="1574">
        <f t="shared" si="2"/>
        <v>0.73069020500198389</v>
      </c>
      <c r="N9" s="1574">
        <f t="shared" si="2"/>
        <v>0.70258673557883067</v>
      </c>
      <c r="O9" s="1574">
        <f t="shared" si="2"/>
        <v>0.67556416882579873</v>
      </c>
      <c r="P9" s="1574">
        <f t="shared" si="2"/>
        <v>0.64958093156326802</v>
      </c>
      <c r="Q9" s="1574">
        <f t="shared" si="2"/>
        <v>0.62459704958006534</v>
      </c>
      <c r="R9" s="1574">
        <f t="shared" si="2"/>
        <v>0.60057408613467822</v>
      </c>
      <c r="S9" s="1575">
        <f t="shared" si="2"/>
        <v>0.57747508282180593</v>
      </c>
      <c r="T9" s="1377"/>
      <c r="U9" s="1377"/>
      <c r="V9" s="1377"/>
      <c r="W9" s="1377"/>
      <c r="X9" s="1377"/>
      <c r="Y9" s="1377"/>
      <c r="Z9" s="1377"/>
      <c r="AA9" s="1377"/>
      <c r="AB9" s="1377"/>
      <c r="AC9" s="1377"/>
    </row>
    <row r="10" spans="2:29" ht="15" thickBot="1" x14ac:dyDescent="0.35">
      <c r="B10" s="1639" t="s">
        <v>4</v>
      </c>
      <c r="C10" s="1640" t="str">
        <f>IF('0 Úvod'!$M$10="English",Slovnik!D639,Slovnik!C639)</f>
        <v>Úspora provozních nákladů*</v>
      </c>
      <c r="D10" s="1643">
        <f>IF((E10+NPV(D9,F10:S10,E20:S20))&lt;=0,0,IF(('13 Kontrola dotací'!E35+NPV(D9,'13 Kontrola dotací'!F35:AC35,'13 Kontrola dotací'!E42:AC42))&gt;=(E10+NPV(D9,F10:S10,E20:S20)),0,-(E10+NPV(D9,F10:S10,E20:S20))+('13 Kontrola dotací'!E35+NPV(D9,'13 Kontrola dotací'!F35:AC35,'13 Kontrola dotací'!E42:AC42))))</f>
        <v>0</v>
      </c>
      <c r="E10" s="1645">
        <f>IF(E2&lt;='0 Úvod'!$G$18+'0 Úvod'!$J$18-1,'13 Kontrola dotací'!E34,0)</f>
        <v>0</v>
      </c>
      <c r="F10" s="1646">
        <f>IF(F2&lt;='0 Úvod'!$G$18+'0 Úvod'!$J$18-1,'13 Kontrola dotací'!F34,0)</f>
        <v>0</v>
      </c>
      <c r="G10" s="1646">
        <f>IF(G2&lt;='0 Úvod'!$G$18+'0 Úvod'!$J$18-1,'13 Kontrola dotací'!G34,0)</f>
        <v>253671132.51507542</v>
      </c>
      <c r="H10" s="1646">
        <f>IF(H2&lt;='0 Úvod'!$G$18+'0 Úvod'!$J$18-1,'13 Kontrola dotací'!H34,0)</f>
        <v>1072652.8498773426</v>
      </c>
      <c r="I10" s="1646">
        <f>IF(I2&lt;='0 Úvod'!$G$18+'0 Úvod'!$J$18-1,'13 Kontrola dotací'!I34,0)</f>
        <v>1074180.786353264</v>
      </c>
      <c r="J10" s="1646">
        <f>IF(J2&lt;='0 Úvod'!$G$18+'0 Úvod'!$J$18-1,'13 Kontrola dotací'!J34,0)</f>
        <v>1075716.3625115603</v>
      </c>
      <c r="K10" s="1646">
        <f>IF(K2&lt;='0 Úvod'!$G$18+'0 Úvod'!$J$18-1,'13 Kontrola dotací'!K34,0)</f>
        <v>1077259.6165506504</v>
      </c>
      <c r="L10" s="1646">
        <f>IF(L2&lt;='0 Úvod'!$G$18+'0 Úvod'!$J$18-1,'13 Kontrola dotací'!L34,0)</f>
        <v>1078810.5868599359</v>
      </c>
      <c r="M10" s="1646">
        <f>IF(M2&lt;='0 Úvod'!$G$18+'0 Úvod'!$J$18-1,'13 Kontrola dotací'!M34,0)</f>
        <v>130880369.31202078</v>
      </c>
      <c r="N10" s="1646">
        <f>IF(N2&lt;='0 Úvod'!$G$18+'0 Úvod'!$J$18-1,'13 Kontrola dotací'!N34,0)</f>
        <v>1081935.8308074046</v>
      </c>
      <c r="O10" s="1646">
        <f>IF(O2&lt;='0 Úvod'!$G$18+'0 Úvod'!$J$18-1,'13 Kontrola dotací'!O34,0)</f>
        <v>1083510.1821879726</v>
      </c>
      <c r="P10" s="1646">
        <f>IF(P2&lt;='0 Úvod'!$G$18+'0 Úvod'!$J$18-1,'13 Kontrola dotací'!P34,0)</f>
        <v>1085092.4053254463</v>
      </c>
      <c r="Q10" s="1646">
        <f>IF(Q2&lt;='0 Úvod'!$G$18+'0 Úvod'!$J$18-1,'13 Kontrola dotací'!Q34,0)</f>
        <v>1086682.5395786017</v>
      </c>
      <c r="R10" s="1646">
        <f>IF(R2&lt;='0 Úvod'!$G$18+'0 Úvod'!$J$18-1,'13 Kontrola dotací'!R34,0)</f>
        <v>1088280.6245030276</v>
      </c>
      <c r="S10" s="1647">
        <f>IF(S2&lt;='0 Úvod'!$G$18+'0 Úvod'!$J$18-1,'13 Kontrola dotací'!S34,0)</f>
        <v>1089886.6998520773</v>
      </c>
      <c r="T10" s="1371"/>
      <c r="U10" s="1371"/>
      <c r="V10" s="1371"/>
      <c r="W10" s="1371"/>
      <c r="X10" s="1371"/>
      <c r="Y10" s="1371"/>
      <c r="Z10" s="1371"/>
      <c r="AA10" s="1371"/>
      <c r="AB10" s="1371"/>
      <c r="AC10" s="1371"/>
    </row>
    <row r="11" spans="2:29" ht="14.25" thickBot="1" x14ac:dyDescent="0.35">
      <c r="B11" s="1630"/>
      <c r="E11" s="1371"/>
      <c r="F11" s="1371"/>
      <c r="G11" s="1371"/>
      <c r="H11" s="1371"/>
      <c r="I11" s="1371"/>
      <c r="J11" s="1371"/>
      <c r="K11" s="1371"/>
      <c r="L11" s="1371"/>
      <c r="M11" s="1371"/>
      <c r="N11" s="1371"/>
      <c r="O11" s="1371"/>
      <c r="P11" s="1371"/>
      <c r="Q11" s="1371"/>
      <c r="R11" s="1371"/>
      <c r="S11" s="1371"/>
      <c r="T11" s="1371"/>
      <c r="U11" s="1371"/>
      <c r="V11" s="1371"/>
      <c r="W11" s="1371"/>
      <c r="X11" s="1371"/>
      <c r="Y11" s="1371"/>
      <c r="Z11" s="1371"/>
      <c r="AA11" s="1371"/>
      <c r="AB11" s="1371"/>
      <c r="AC11" s="946"/>
    </row>
    <row r="12" spans="2:29" s="946" customFormat="1" ht="14.25" x14ac:dyDescent="0.3">
      <c r="B12" s="993" t="s">
        <v>171</v>
      </c>
      <c r="C12" s="209" t="str">
        <f>C2</f>
        <v>Kalkulace finanční mezery a přidělení</v>
      </c>
      <c r="D12" s="994"/>
      <c r="E12" s="2323">
        <f>S2+1</f>
        <v>2036</v>
      </c>
      <c r="F12" s="2323">
        <f t="shared" ref="F12:S12" si="3">E12+1</f>
        <v>2037</v>
      </c>
      <c r="G12" s="2323">
        <f t="shared" si="3"/>
        <v>2038</v>
      </c>
      <c r="H12" s="2323">
        <f t="shared" si="3"/>
        <v>2039</v>
      </c>
      <c r="I12" s="2323">
        <f t="shared" si="3"/>
        <v>2040</v>
      </c>
      <c r="J12" s="2323">
        <f t="shared" si="3"/>
        <v>2041</v>
      </c>
      <c r="K12" s="2323">
        <f t="shared" si="3"/>
        <v>2042</v>
      </c>
      <c r="L12" s="2323">
        <f t="shared" si="3"/>
        <v>2043</v>
      </c>
      <c r="M12" s="2323">
        <f t="shared" si="3"/>
        <v>2044</v>
      </c>
      <c r="N12" s="2323">
        <f t="shared" si="3"/>
        <v>2045</v>
      </c>
      <c r="O12" s="2323">
        <f t="shared" si="3"/>
        <v>2046</v>
      </c>
      <c r="P12" s="2323">
        <f t="shared" si="3"/>
        <v>2047</v>
      </c>
      <c r="Q12" s="2323">
        <f t="shared" si="3"/>
        <v>2048</v>
      </c>
      <c r="R12" s="2323">
        <f t="shared" si="3"/>
        <v>2049</v>
      </c>
      <c r="S12" s="2329">
        <f t="shared" si="3"/>
        <v>2050</v>
      </c>
      <c r="T12" s="977"/>
      <c r="U12" s="978"/>
      <c r="V12" s="978"/>
      <c r="W12" s="978"/>
      <c r="X12" s="978"/>
      <c r="Y12" s="978"/>
      <c r="Z12" s="978"/>
      <c r="AA12" s="978"/>
      <c r="AB12" s="978"/>
      <c r="AC12" s="978"/>
    </row>
    <row r="13" spans="2:29" s="946" customFormat="1" ht="15" thickBot="1" x14ac:dyDescent="0.35">
      <c r="B13" s="210" t="s">
        <v>24</v>
      </c>
      <c r="C13" s="1635" t="str">
        <f t="shared" ref="C13:C20" si="4">C3</f>
        <v>grantu EU (CZK)</v>
      </c>
      <c r="D13" s="1636"/>
      <c r="E13" s="2662"/>
      <c r="F13" s="2662"/>
      <c r="G13" s="2662"/>
      <c r="H13" s="2662"/>
      <c r="I13" s="2662"/>
      <c r="J13" s="2662"/>
      <c r="K13" s="2662"/>
      <c r="L13" s="2662"/>
      <c r="M13" s="2662"/>
      <c r="N13" s="2662"/>
      <c r="O13" s="2662"/>
      <c r="P13" s="2662"/>
      <c r="Q13" s="2662"/>
      <c r="R13" s="2662"/>
      <c r="S13" s="2663"/>
      <c r="T13" s="977"/>
      <c r="U13" s="978"/>
      <c r="V13" s="978"/>
      <c r="W13" s="978"/>
      <c r="X13" s="978"/>
      <c r="Y13" s="978"/>
      <c r="Z13" s="978"/>
      <c r="AA13" s="978"/>
      <c r="AB13" s="978"/>
      <c r="AC13" s="978"/>
    </row>
    <row r="14" spans="2:29" ht="14.25" x14ac:dyDescent="0.3">
      <c r="B14" s="1637" t="s">
        <v>5</v>
      </c>
      <c r="C14" s="1415" t="str">
        <f t="shared" si="4"/>
        <v>Investiční náklady (DIC) (z FA)</v>
      </c>
      <c r="D14" s="1648"/>
      <c r="E14" s="1548">
        <f>'10 Finanční analýza (FRR_C)'!E21</f>
        <v>0</v>
      </c>
      <c r="F14" s="1540">
        <f>'10 Finanční analýza (FRR_C)'!F21</f>
        <v>0</v>
      </c>
      <c r="G14" s="1540">
        <f>'10 Finanční analýza (FRR_C)'!G21</f>
        <v>0</v>
      </c>
      <c r="H14" s="1540">
        <f>'10 Finanční analýza (FRR_C)'!H21</f>
        <v>0</v>
      </c>
      <c r="I14" s="1540">
        <f>'10 Finanční analýza (FRR_C)'!I21</f>
        <v>0</v>
      </c>
      <c r="J14" s="1540">
        <f>'10 Finanční analýza (FRR_C)'!J21</f>
        <v>0</v>
      </c>
      <c r="K14" s="1540">
        <f>'10 Finanční analýza (FRR_C)'!K21</f>
        <v>0</v>
      </c>
      <c r="L14" s="1540">
        <f>'10 Finanční analýza (FRR_C)'!L21</f>
        <v>0</v>
      </c>
      <c r="M14" s="1540">
        <f>'10 Finanční analýza (FRR_C)'!M21</f>
        <v>0</v>
      </c>
      <c r="N14" s="1540">
        <f>'10 Finanční analýza (FRR_C)'!N21</f>
        <v>0</v>
      </c>
      <c r="O14" s="1540">
        <f>'10 Finanční analýza (FRR_C)'!O21</f>
        <v>0</v>
      </c>
      <c r="P14" s="1540">
        <f>'10 Finanční analýza (FRR_C)'!P21</f>
        <v>0</v>
      </c>
      <c r="Q14" s="1540">
        <f>'10 Finanční analýza (FRR_C)'!Q21</f>
        <v>0</v>
      </c>
      <c r="R14" s="1540">
        <f>'10 Finanční analýza (FRR_C)'!R21</f>
        <v>0</v>
      </c>
      <c r="S14" s="1541">
        <f>'10 Finanční analýza (FRR_C)'!S21</f>
        <v>0</v>
      </c>
      <c r="T14" s="1371"/>
      <c r="U14" s="1371"/>
      <c r="V14" s="1371"/>
      <c r="W14" s="1371"/>
      <c r="X14" s="1371"/>
      <c r="Y14" s="1371"/>
      <c r="Z14" s="1371"/>
      <c r="AA14" s="1371"/>
      <c r="AB14" s="1371"/>
      <c r="AC14" s="1371"/>
    </row>
    <row r="15" spans="2:29" ht="14.25" x14ac:dyDescent="0.3">
      <c r="B15" s="1637" t="s">
        <v>6</v>
      </c>
      <c r="C15" s="1418" t="str">
        <f t="shared" si="4"/>
        <v>Přírůstkové celkové provozní příjmy**</v>
      </c>
      <c r="D15" s="1649"/>
      <c r="E15" s="1619">
        <f>IF(E12&lt;='0 Úvod'!$G$18+'0 Úvod'!$J$18-1,('8 Příjmy'!E44),0)</f>
        <v>0</v>
      </c>
      <c r="F15" s="1542">
        <f>IF(F12&lt;='0 Úvod'!$G$18+'0 Úvod'!$J$18-1,('8 Příjmy'!F44),0)</f>
        <v>0</v>
      </c>
      <c r="G15" s="1542">
        <f>IF(G12&lt;='0 Úvod'!$G$18+'0 Úvod'!$J$18-1,('8 Příjmy'!G44),0)</f>
        <v>0</v>
      </c>
      <c r="H15" s="1542">
        <f>IF(H12&lt;='0 Úvod'!$G$18+'0 Úvod'!$J$18-1,('8 Příjmy'!H44),0)</f>
        <v>0</v>
      </c>
      <c r="I15" s="1542">
        <f>IF(I12&lt;='0 Úvod'!$G$18+'0 Úvod'!$J$18-1,('8 Příjmy'!I44),0)</f>
        <v>0</v>
      </c>
      <c r="J15" s="1542">
        <f>IF(J12&lt;='0 Úvod'!$G$18+'0 Úvod'!$J$18-1,('8 Příjmy'!J44),0)</f>
        <v>0</v>
      </c>
      <c r="K15" s="1542">
        <f>IF(K12&lt;='0 Úvod'!$G$18+'0 Úvod'!$J$18-1,('8 Příjmy'!K44),0)</f>
        <v>0</v>
      </c>
      <c r="L15" s="1542">
        <f>IF(L12&lt;='0 Úvod'!$G$18+'0 Úvod'!$J$18-1,('8 Příjmy'!L44),0)</f>
        <v>0</v>
      </c>
      <c r="M15" s="1542">
        <f>IF(M12&lt;='0 Úvod'!$G$18+'0 Úvod'!$J$18-1,('8 Příjmy'!M44),0)</f>
        <v>0</v>
      </c>
      <c r="N15" s="1542">
        <f>IF(N12&lt;='0 Úvod'!$G$18+'0 Úvod'!$J$18-1,('8 Příjmy'!N44),0)</f>
        <v>0</v>
      </c>
      <c r="O15" s="1542">
        <f>IF(O12&lt;='0 Úvod'!$G$18+'0 Úvod'!$J$18-1,('8 Příjmy'!O44),0)</f>
        <v>0</v>
      </c>
      <c r="P15" s="1542">
        <f>IF(P12&lt;='0 Úvod'!$G$18+'0 Úvod'!$J$18-1,('8 Příjmy'!P44),0)</f>
        <v>0</v>
      </c>
      <c r="Q15" s="1542">
        <f>IF(Q12&lt;='0 Úvod'!$G$18+'0 Úvod'!$J$18-1,('8 Příjmy'!Q44),0)</f>
        <v>0</v>
      </c>
      <c r="R15" s="1542">
        <f>IF(R12&lt;='0 Úvod'!$G$18+'0 Úvod'!$J$18-1,('8 Příjmy'!R44),0)</f>
        <v>0</v>
      </c>
      <c r="S15" s="1543">
        <f>IF(S12&lt;='0 Úvod'!$G$18+'0 Úvod'!$J$18-1,('8 Příjmy'!S44),0)</f>
        <v>0</v>
      </c>
      <c r="T15" s="1371"/>
      <c r="U15" s="1371"/>
      <c r="V15" s="1371"/>
      <c r="W15" s="1371"/>
      <c r="X15" s="1371"/>
      <c r="Y15" s="1371"/>
      <c r="Z15" s="1371"/>
      <c r="AA15" s="1371"/>
      <c r="AB15" s="1371"/>
      <c r="AC15" s="1371"/>
    </row>
    <row r="16" spans="2:29" ht="14.25" x14ac:dyDescent="0.3">
      <c r="B16" s="1637" t="s">
        <v>7</v>
      </c>
      <c r="C16" s="1116" t="str">
        <f t="shared" si="4"/>
        <v>Přírůstkové celkové provozní náklady*</v>
      </c>
      <c r="D16" s="1650"/>
      <c r="E16" s="1619">
        <f>'10 Finanční analýza (FRR_C)'!E19</f>
        <v>-1091500.8055778695</v>
      </c>
      <c r="F16" s="1542">
        <f>'10 Finanční analýza (FRR_C)'!F19</f>
        <v>-1093122.9818322891</v>
      </c>
      <c r="G16" s="1542">
        <f>'10 Finanční analýza (FRR_C)'!G19</f>
        <v>-1094753.2689679824</v>
      </c>
      <c r="H16" s="1542">
        <f>'10 Finanční analýza (FRR_C)'!H19</f>
        <v>-1096391.7075393554</v>
      </c>
      <c r="I16" s="1542">
        <f>'10 Finanční analýza (FRR_C)'!I19</f>
        <v>-1098038.3383035837</v>
      </c>
      <c r="J16" s="1542">
        <f>'10 Finanční analýza (FRR_C)'!J19</f>
        <v>-1099693.2022216357</v>
      </c>
      <c r="K16" s="1542">
        <f>'10 Finanční analýza (FRR_C)'!K19</f>
        <v>-1101356.3404592751</v>
      </c>
      <c r="L16" s="1542">
        <f>'10 Finanční analýza (FRR_C)'!L19</f>
        <v>6232010.2313405592</v>
      </c>
      <c r="M16" s="1542">
        <f>'10 Finanční analýza (FRR_C)'!M19</f>
        <v>-1104707.6055865753</v>
      </c>
      <c r="N16" s="1542">
        <f>'10 Finanční analýza (FRR_C)'!N19</f>
        <v>-1106395.8158410406</v>
      </c>
      <c r="O16" s="1542">
        <f>'10 Finanční analýza (FRR_C)'!O19</f>
        <v>-1108092.4671467775</v>
      </c>
      <c r="P16" s="1542">
        <f>'10 Finanční analýza (FRR_C)'!P19</f>
        <v>-1109797.6017090445</v>
      </c>
      <c r="Q16" s="1542">
        <f>'10 Finanční analýza (FRR_C)'!Q19</f>
        <v>116071757.94376928</v>
      </c>
      <c r="R16" s="1542">
        <f>'10 Finanční analýza (FRR_C)'!R19</f>
        <v>-1113233.4904803736</v>
      </c>
      <c r="S16" s="1543">
        <f>'10 Finanční analýza (FRR_C)'!S19</f>
        <v>137243501.46663338</v>
      </c>
      <c r="T16" s="1371"/>
      <c r="U16" s="1371"/>
      <c r="V16" s="1371"/>
      <c r="W16" s="1371"/>
      <c r="X16" s="1371"/>
      <c r="Y16" s="1371"/>
      <c r="Z16" s="1371"/>
      <c r="AA16" s="1371"/>
      <c r="AB16" s="1371"/>
      <c r="AC16" s="1371"/>
    </row>
    <row r="17" spans="2:29" ht="14.25" x14ac:dyDescent="0.3">
      <c r="B17" s="1637" t="s">
        <v>8</v>
      </c>
      <c r="C17" s="1418" t="str">
        <f t="shared" si="4"/>
        <v>Čisté provozní příjmy</v>
      </c>
      <c r="D17" s="1650"/>
      <c r="E17" s="1619">
        <f>E15-E16</f>
        <v>1091500.8055778695</v>
      </c>
      <c r="F17" s="1542">
        <f t="shared" ref="F17:S17" si="5">F15-F16</f>
        <v>1093122.9818322891</v>
      </c>
      <c r="G17" s="1542">
        <f t="shared" si="5"/>
        <v>1094753.2689679824</v>
      </c>
      <c r="H17" s="1542">
        <f t="shared" si="5"/>
        <v>1096391.7075393554</v>
      </c>
      <c r="I17" s="1542">
        <f t="shared" si="5"/>
        <v>1098038.3383035837</v>
      </c>
      <c r="J17" s="1542">
        <f t="shared" si="5"/>
        <v>1099693.2022216357</v>
      </c>
      <c r="K17" s="1542">
        <f t="shared" si="5"/>
        <v>1101356.3404592751</v>
      </c>
      <c r="L17" s="1542">
        <f t="shared" si="5"/>
        <v>-6232010.2313405592</v>
      </c>
      <c r="M17" s="1542">
        <f t="shared" si="5"/>
        <v>1104707.6055865753</v>
      </c>
      <c r="N17" s="1542">
        <f t="shared" si="5"/>
        <v>1106395.8158410406</v>
      </c>
      <c r="O17" s="1542">
        <f t="shared" si="5"/>
        <v>1108092.4671467775</v>
      </c>
      <c r="P17" s="1542">
        <f t="shared" si="5"/>
        <v>1109797.6017090445</v>
      </c>
      <c r="Q17" s="1542">
        <f t="shared" si="5"/>
        <v>-116071757.94376928</v>
      </c>
      <c r="R17" s="1542">
        <f t="shared" si="5"/>
        <v>1113233.4904803736</v>
      </c>
      <c r="S17" s="1543">
        <f t="shared" si="5"/>
        <v>-137243501.46663338</v>
      </c>
      <c r="T17" s="1371"/>
      <c r="U17" s="1371"/>
      <c r="V17" s="1371"/>
      <c r="W17" s="1371"/>
      <c r="X17" s="1371"/>
      <c r="Y17" s="1371"/>
      <c r="Z17" s="1371"/>
      <c r="AA17" s="1371"/>
      <c r="AB17" s="1371"/>
      <c r="AC17" s="1371"/>
    </row>
    <row r="18" spans="2:29" ht="14.25" x14ac:dyDescent="0.3">
      <c r="B18" s="1637" t="s">
        <v>9</v>
      </c>
      <c r="C18" s="1418" t="str">
        <f t="shared" si="4"/>
        <v>Zůstatková hodnota investice</v>
      </c>
      <c r="D18" s="1650"/>
      <c r="E18" s="1619">
        <f>IF(E12='0 Úvod'!$G$18+'0 Úvod'!$J$18-1,-1*'2 ZH'!$D$47,0)</f>
        <v>0</v>
      </c>
      <c r="F18" s="1542">
        <f>IF(F12='0 Úvod'!$G$18+'0 Úvod'!$J$18-1,-1*'2 ZH'!$D$47,0)</f>
        <v>0</v>
      </c>
      <c r="G18" s="1542">
        <f>IF(G12='0 Úvod'!$G$18+'0 Úvod'!$J$18-1,-1*'2 ZH'!$D$47,0)</f>
        <v>0</v>
      </c>
      <c r="H18" s="1542">
        <f>IF(H12='0 Úvod'!$G$18+'0 Úvod'!$J$18-1,-1*'2 ZH'!$D$47,0)</f>
        <v>0</v>
      </c>
      <c r="I18" s="1542">
        <f>IF(I12='0 Úvod'!$G$18+'0 Úvod'!$J$18-1,-1*'2 ZH'!$D$47,0)</f>
        <v>0</v>
      </c>
      <c r="J18" s="1542">
        <f>IF(J12='0 Úvod'!$G$18+'0 Úvod'!$J$18-1,-1*'2 ZH'!$D$47,0)</f>
        <v>0</v>
      </c>
      <c r="K18" s="1542">
        <f>IF(K12='0 Úvod'!$G$18+'0 Úvod'!$J$18-1,-1*'2 ZH'!$D$47,0)</f>
        <v>0</v>
      </c>
      <c r="L18" s="1542">
        <f>IF(L12='0 Úvod'!$G$18+'0 Úvod'!$J$18-1,-1*'2 ZH'!$D$47,0)</f>
        <v>0</v>
      </c>
      <c r="M18" s="1542">
        <f>IF(M12='0 Úvod'!$G$18+'0 Úvod'!$J$18-1,-1*'2 ZH'!$D$47,0)</f>
        <v>0</v>
      </c>
      <c r="N18" s="1542">
        <f>IF(N12='0 Úvod'!$G$18+'0 Úvod'!$J$18-1,-1*'2 ZH'!$D$47,0)</f>
        <v>0</v>
      </c>
      <c r="O18" s="1542">
        <f>IF(O12='0 Úvod'!$G$18+'0 Úvod'!$J$18-1,-1*'2 ZH'!$D$47,0)</f>
        <v>0</v>
      </c>
      <c r="P18" s="1542">
        <f>IF(P12='0 Úvod'!$G$18+'0 Úvod'!$J$18-1,-1*'2 ZH'!$D$47,0)</f>
        <v>0</v>
      </c>
      <c r="Q18" s="1542">
        <f>IF(Q12='0 Úvod'!$G$18+'0 Úvod'!$J$18-1,-1*'2 ZH'!$D$47,0)</f>
        <v>0</v>
      </c>
      <c r="R18" s="1542">
        <f>IF(R12='0 Úvod'!$G$18+'0 Úvod'!$J$18-1,-1*'2 ZH'!$D$47,0)</f>
        <v>0</v>
      </c>
      <c r="S18" s="1543">
        <f>IF(S12='0 Úvod'!$G$18+'0 Úvod'!$J$18-1,-1*'2 ZH'!$D$47,0)</f>
        <v>-37866348.040484771</v>
      </c>
      <c r="T18" s="1371"/>
      <c r="U18" s="1371"/>
      <c r="V18" s="1371"/>
      <c r="W18" s="1371"/>
      <c r="X18" s="1371"/>
      <c r="Y18" s="1371"/>
      <c r="Z18" s="1371"/>
      <c r="AA18" s="1371"/>
      <c r="AB18" s="1371"/>
      <c r="AC18" s="1371"/>
    </row>
    <row r="19" spans="2:29" ht="14.25" x14ac:dyDescent="0.3">
      <c r="B19" s="1638"/>
      <c r="C19" s="1418" t="str">
        <f t="shared" si="4"/>
        <v>Diskontní faktor</v>
      </c>
      <c r="D19" s="1652">
        <f>D9</f>
        <v>0.04</v>
      </c>
      <c r="E19" s="1622">
        <f>S9/(1+$D$9)</f>
        <v>0.55526450271327488</v>
      </c>
      <c r="F19" s="1574">
        <f>E19/(1+$D$9)</f>
        <v>0.53390817568584126</v>
      </c>
      <c r="G19" s="1574">
        <f t="shared" ref="G19:S19" si="6">F19/(1+$D$9)</f>
        <v>0.51337324585177047</v>
      </c>
      <c r="H19" s="1574">
        <f t="shared" si="6"/>
        <v>0.49362812101131776</v>
      </c>
      <c r="I19" s="1574">
        <f t="shared" si="6"/>
        <v>0.47464242404934398</v>
      </c>
      <c r="J19" s="1574">
        <f t="shared" si="6"/>
        <v>0.45638694620129228</v>
      </c>
      <c r="K19" s="1574">
        <f t="shared" si="6"/>
        <v>0.4388336021166272</v>
      </c>
      <c r="L19" s="1574">
        <f t="shared" si="6"/>
        <v>0.42195538665060306</v>
      </c>
      <c r="M19" s="1574">
        <f t="shared" si="6"/>
        <v>0.40572633331788754</v>
      </c>
      <c r="N19" s="1574">
        <f t="shared" si="6"/>
        <v>0.39012147434412264</v>
      </c>
      <c r="O19" s="1574">
        <f t="shared" si="6"/>
        <v>0.37511680225396404</v>
      </c>
      <c r="P19" s="1574">
        <f t="shared" si="6"/>
        <v>0.3606892329365039</v>
      </c>
      <c r="Q19" s="1574">
        <f t="shared" si="6"/>
        <v>0.34681657013125372</v>
      </c>
      <c r="R19" s="1574">
        <f t="shared" si="6"/>
        <v>0.33347747128005162</v>
      </c>
      <c r="S19" s="1575">
        <f t="shared" si="6"/>
        <v>0.32065141469235731</v>
      </c>
      <c r="T19" s="1377"/>
      <c r="U19" s="1377"/>
      <c r="V19" s="1377"/>
      <c r="W19" s="1377"/>
      <c r="X19" s="1377"/>
      <c r="Y19" s="1377"/>
      <c r="Z19" s="1377"/>
      <c r="AA19" s="1377"/>
      <c r="AB19" s="1377"/>
      <c r="AC19" s="1377"/>
    </row>
    <row r="20" spans="2:29" ht="15" thickBot="1" x14ac:dyDescent="0.35">
      <c r="B20" s="1639" t="s">
        <v>4</v>
      </c>
      <c r="C20" s="1640" t="str">
        <f t="shared" si="4"/>
        <v>Úspora provozních nákladů*</v>
      </c>
      <c r="D20" s="1651"/>
      <c r="E20" s="1645">
        <f>IF(E12&lt;='0 Úvod'!$G$18+'0 Úvod'!$J$18-1,'13 Kontrola dotací'!E41,0)</f>
        <v>1091500.8055778686</v>
      </c>
      <c r="F20" s="1646">
        <f>IF(F12&lt;='0 Úvod'!$G$18+'0 Úvod'!$J$18-1,'13 Kontrola dotací'!F41,0)</f>
        <v>1093122.9818322901</v>
      </c>
      <c r="G20" s="1646">
        <f>IF(G12&lt;='0 Úvod'!$G$18+'0 Úvod'!$J$18-1,'13 Kontrola dotací'!G41,0)</f>
        <v>1094753.2689679824</v>
      </c>
      <c r="H20" s="1646">
        <f>IF(H12&lt;='0 Úvod'!$G$18+'0 Úvod'!$J$18-1,'13 Kontrola dotací'!H41,0)</f>
        <v>1096391.7075393554</v>
      </c>
      <c r="I20" s="1646">
        <f>IF(I12&lt;='0 Úvod'!$G$18+'0 Úvod'!$J$18-1,'13 Kontrola dotací'!I41,0)</f>
        <v>1098038.3383035827</v>
      </c>
      <c r="J20" s="1646">
        <f>IF(J12&lt;='0 Úvod'!$G$18+'0 Úvod'!$J$18-1,'13 Kontrola dotací'!J41,0)</f>
        <v>1099693.2022216357</v>
      </c>
      <c r="K20" s="1646">
        <f>IF(K12&lt;='0 Úvod'!$G$18+'0 Úvod'!$J$18-1,'13 Kontrola dotací'!K41,0)</f>
        <v>1101356.340459276</v>
      </c>
      <c r="L20" s="1646">
        <f>IF(L12&lt;='0 Úvod'!$G$18+'0 Úvod'!$J$18-1,'13 Kontrola dotací'!L41,0)</f>
        <v>-6232010.2313405592</v>
      </c>
      <c r="M20" s="1646">
        <f>IF(M12&lt;='0 Úvod'!$G$18+'0 Úvod'!$J$18-1,'13 Kontrola dotací'!M41,0)</f>
        <v>1104707.6055865772</v>
      </c>
      <c r="N20" s="1646">
        <f>IF(N12&lt;='0 Úvod'!$G$18+'0 Úvod'!$J$18-1,'13 Kontrola dotací'!N41,0)</f>
        <v>1106395.8158410396</v>
      </c>
      <c r="O20" s="1646">
        <f>IF(O12&lt;='0 Úvod'!$G$18+'0 Úvod'!$J$18-1,'13 Kontrola dotací'!O41,0)</f>
        <v>1108092.4671467785</v>
      </c>
      <c r="P20" s="1646">
        <f>IF(P12&lt;='0 Úvod'!$G$18+'0 Úvod'!$J$18-1,'13 Kontrola dotací'!P41,0)</f>
        <v>1109797.6017090436</v>
      </c>
      <c r="Q20" s="1646">
        <f>IF(Q12&lt;='0 Úvod'!$G$18+'0 Úvod'!$J$18-1,'13 Kontrola dotací'!Q41,0)</f>
        <v>-116071757.94376934</v>
      </c>
      <c r="R20" s="1646">
        <f>IF(R12&lt;='0 Úvod'!$G$18+'0 Úvod'!$J$18-1,'13 Kontrola dotací'!R41,0)</f>
        <v>1113233.4904803727</v>
      </c>
      <c r="S20" s="1647">
        <f>IF(S12&lt;='0 Úvod'!$G$18+'0 Úvod'!$J$18-1,'13 Kontrola dotací'!S41,0)</f>
        <v>-137243501.46663338</v>
      </c>
      <c r="T20" s="1371"/>
      <c r="U20" s="1371"/>
      <c r="V20" s="1371"/>
      <c r="W20" s="1371"/>
      <c r="X20" s="1371"/>
      <c r="Y20" s="1371"/>
      <c r="Z20" s="1371"/>
      <c r="AA20" s="1371"/>
      <c r="AB20" s="1371"/>
      <c r="AC20" s="1371"/>
    </row>
    <row r="21" spans="2:29" x14ac:dyDescent="0.3">
      <c r="B21" s="1630"/>
      <c r="C21" s="1631"/>
      <c r="D21" s="1632"/>
      <c r="E21" s="1632"/>
      <c r="F21" s="1632"/>
      <c r="G21" s="1632"/>
      <c r="H21" s="1632"/>
      <c r="I21" s="1632"/>
      <c r="J21" s="1632"/>
      <c r="K21" s="1632"/>
      <c r="L21" s="1632"/>
      <c r="M21" s="1632"/>
      <c r="N21" s="1632"/>
      <c r="O21" s="1632"/>
      <c r="P21" s="1632"/>
      <c r="Q21" s="1632"/>
      <c r="R21" s="1632"/>
    </row>
    <row r="22" spans="2:29" ht="14.25" thickBot="1" x14ac:dyDescent="0.35">
      <c r="E22" s="946"/>
      <c r="F22" s="946"/>
      <c r="G22" s="946"/>
      <c r="H22" s="946"/>
    </row>
    <row r="23" spans="2:29" ht="22.5" customHeight="1" thickBot="1" x14ac:dyDescent="0.35">
      <c r="B23" s="1654" t="s">
        <v>172</v>
      </c>
      <c r="C23" s="1655" t="str">
        <f>IF('0 Úvod'!$M$10="English",Slovnik!D641,Slovnik!C641)</f>
        <v>Kalkulace veřejného příspěvku (CZK) - stálé ceny</v>
      </c>
      <c r="D23" s="1655"/>
      <c r="E23" s="1655"/>
      <c r="F23" s="1655"/>
      <c r="G23" s="1656" t="s">
        <v>3</v>
      </c>
      <c r="H23" s="1657" t="s">
        <v>0</v>
      </c>
      <c r="J23" s="2674" t="str">
        <f>IF('0 Úvod'!$M$10="English",Slovnik!$D$649,Slovnik!$C$649)</f>
        <v>Komentáře</v>
      </c>
      <c r="K23" s="2675"/>
      <c r="L23" s="2675"/>
      <c r="M23" s="2675"/>
      <c r="N23" s="2675"/>
      <c r="O23" s="2675"/>
      <c r="P23" s="2675"/>
      <c r="Q23" s="2675"/>
      <c r="R23" s="2675"/>
      <c r="S23" s="2676"/>
    </row>
    <row r="24" spans="2:29" ht="14.25" x14ac:dyDescent="0.3">
      <c r="B24" s="1662"/>
      <c r="C24" s="1605" t="str">
        <f>IF('0 Úvod'!$M$10="English",Slovnik!D642,Slovnik!C642)</f>
        <v>Způsobilé náklady***</v>
      </c>
      <c r="D24" s="1663"/>
      <c r="E24" s="1663"/>
      <c r="F24" s="1663"/>
      <c r="G24" s="1669" t="e">
        <f>'1 CIN'!F11*('1 CIN'!E47/'1 CIN'!F47)</f>
        <v>#DIV/0!</v>
      </c>
      <c r="H24" s="1670" t="e">
        <f>G24/'0 Úvod'!N18</f>
        <v>#DIV/0!</v>
      </c>
      <c r="I24" s="946"/>
      <c r="J24" s="2671" t="str">
        <f>IF('0 Úvod'!$M$10="English",Slovnik!$E$640,Slovnik!$E$639)</f>
        <v>* v případě vynechání dle čl. 61 Nařízení (EU) č. 1303/2013, musí být poskytnuta ukázka úměrného snížení dotací na základě shody s hodnotami cash-flow z tabulky "Provozní náklady"</v>
      </c>
      <c r="K24" s="2672"/>
      <c r="L24" s="2672"/>
      <c r="M24" s="2672"/>
      <c r="N24" s="2672"/>
      <c r="O24" s="2672"/>
      <c r="P24" s="2672"/>
      <c r="Q24" s="2672"/>
      <c r="R24" s="2672"/>
      <c r="S24" s="2673"/>
    </row>
    <row r="25" spans="2:29" ht="14.25" x14ac:dyDescent="0.3">
      <c r="B25" s="1664"/>
      <c r="C25" s="1607" t="str">
        <f>IF('0 Úvod'!$M$10="English",Slovnik!D643,Slovnik!C643)</f>
        <v>Míra finanční mezery ((DIC bez rezervy- čisté příjmy)/DIC bez rezervy)</v>
      </c>
      <c r="D25" s="1665"/>
      <c r="E25" s="1665"/>
      <c r="F25" s="1665"/>
      <c r="G25" s="1671" t="e">
        <f>IF(D6&gt;D5,1,IF(D6&gt;0,ROUND((D4-(D5-D6)*('1 CIN'!$E$47/'1 CIN'!$F$47)+D8*('1 CIN'!$E$47/'1 CIN'!$F$47))/D4,4),IF(ROUND((D4-(D5-D10)*('1 CIN'!$E$47/'1 CIN'!$F$47)+D8*('1 CIN'!$E$47/'1 CIN'!$F$47))/D4,4)&gt;1,1,ROUND((D4-(D5-D10)*('1 CIN'!$E$47/'1 CIN'!$F$47)+D8*('1 CIN'!$E$47/'1 CIN'!$F$47))/D4,4))))</f>
        <v>#DIV/0!</v>
      </c>
      <c r="H25" s="1672"/>
      <c r="I25" s="946"/>
      <c r="J25" s="2668"/>
      <c r="K25" s="2669"/>
      <c r="L25" s="2669"/>
      <c r="M25" s="2669"/>
      <c r="N25" s="2669"/>
      <c r="O25" s="2669"/>
      <c r="P25" s="2669"/>
      <c r="Q25" s="2669"/>
      <c r="R25" s="2669"/>
      <c r="S25" s="2670"/>
    </row>
    <row r="26" spans="2:29" ht="14.25" x14ac:dyDescent="0.3">
      <c r="B26" s="1664"/>
      <c r="C26" s="1607" t="str">
        <f>IF('0 Úvod'!$M$10="English",Slovnik!D644,Slovnik!C644)</f>
        <v>Rozhodná částka (způsobilé náklady*R)</v>
      </c>
      <c r="D26" s="1665"/>
      <c r="E26" s="1665"/>
      <c r="F26" s="1665"/>
      <c r="G26" s="1673" t="e">
        <f>ROUND(G24*G25,0)</f>
        <v>#DIV/0!</v>
      </c>
      <c r="H26" s="1674" t="e">
        <f>G26/'0 Úvod'!N18</f>
        <v>#DIV/0!</v>
      </c>
      <c r="I26" s="946"/>
      <c r="J26" s="2668" t="str">
        <f>IF('0 Úvod'!$M$10="English",Slovnik!$E$643,Slovnik!$E$642)</f>
        <v>** příjmy získané přímo od uživatelů,  čl. 61 Nařízení (EU) č. 1303/2013 a příloha V Nařízení (EU) č. 1303/2013 a oddíl III Nařízení Komise v přenesené pravomoci (EU) č. 480/2014</v>
      </c>
      <c r="K26" s="2669"/>
      <c r="L26" s="2669"/>
      <c r="M26" s="2669"/>
      <c r="N26" s="2669"/>
      <c r="O26" s="2669"/>
      <c r="P26" s="2669"/>
      <c r="Q26" s="2669"/>
      <c r="R26" s="2669"/>
      <c r="S26" s="2670"/>
    </row>
    <row r="27" spans="2:29" ht="13.9" customHeight="1" x14ac:dyDescent="0.3">
      <c r="B27" s="1664"/>
      <c r="C27" s="1607" t="str">
        <f>IF('0 Úvod'!$M$10="English",Slovnik!D645,Slovnik!C645)</f>
        <v>Míra spolufinancování prioritních os (%)</v>
      </c>
      <c r="D27" s="1665"/>
      <c r="E27" s="1665"/>
      <c r="F27" s="1665"/>
      <c r="G27" s="1675">
        <v>0.85</v>
      </c>
      <c r="H27" s="1672"/>
      <c r="I27" s="946"/>
      <c r="J27" s="2668"/>
      <c r="K27" s="2669"/>
      <c r="L27" s="2669"/>
      <c r="M27" s="2669"/>
      <c r="N27" s="2669"/>
      <c r="O27" s="2669"/>
      <c r="P27" s="2669"/>
      <c r="Q27" s="2669"/>
      <c r="R27" s="2669"/>
      <c r="S27" s="2670"/>
    </row>
    <row r="28" spans="2:29" ht="13.9" customHeight="1" thickBot="1" x14ac:dyDescent="0.35">
      <c r="B28" s="1666"/>
      <c r="C28" s="1667" t="str">
        <f>IF('0 Úvod'!$M$10="English",Slovnik!D646,Slovnik!C646)</f>
        <v>Příspěvek Společenství</v>
      </c>
      <c r="D28" s="1668"/>
      <c r="E28" s="1668"/>
      <c r="F28" s="1668"/>
      <c r="G28" s="1676" t="e">
        <f>ROUNDDOWN(G26*G27,2)</f>
        <v>#DIV/0!</v>
      </c>
      <c r="H28" s="1677" t="e">
        <f>G28/'0 Úvod'!N18</f>
        <v>#DIV/0!</v>
      </c>
      <c r="I28" s="946"/>
      <c r="J28" s="2665" t="str">
        <f>IF('0 Úvod'!$M$10="English",Slovnik!$E$646,Slovnik!$E$645)</f>
        <v>*** jedná se o procentuální odhad způsobilých nákladů ve stálých cenách, který vychází ze skutečného poměru způsobilých a nezpůsobilých nákladů v běžných cenách z tabulky způsobilosti nákladů (list "1 Celkové investiční náklady" tabulka 1.2)</v>
      </c>
      <c r="K28" s="2666"/>
      <c r="L28" s="2666"/>
      <c r="M28" s="2666"/>
      <c r="N28" s="2666"/>
      <c r="O28" s="2666"/>
      <c r="P28" s="2666"/>
      <c r="Q28" s="2666"/>
      <c r="R28" s="2666"/>
      <c r="S28" s="2667"/>
    </row>
    <row r="29" spans="2:29" ht="22.15" customHeight="1" thickBot="1" x14ac:dyDescent="0.35">
      <c r="J29" s="2665"/>
      <c r="K29" s="2666"/>
      <c r="L29" s="2666"/>
      <c r="M29" s="2666"/>
      <c r="N29" s="2666"/>
      <c r="O29" s="2666"/>
      <c r="P29" s="2666"/>
      <c r="Q29" s="2666"/>
      <c r="R29" s="2666"/>
      <c r="S29" s="2667"/>
    </row>
    <row r="30" spans="2:29" ht="21.75" customHeight="1" thickBot="1" x14ac:dyDescent="0.35">
      <c r="B30" s="1658" t="s">
        <v>173</v>
      </c>
      <c r="C30" s="1659" t="str">
        <f>IF('0 Úvod'!$M$10="English",Slovnik!$D$648,Slovnik!$C$648)</f>
        <v>Kalkulace veřejného příspěvku (CZK) - běžné ceny</v>
      </c>
      <c r="D30" s="1659"/>
      <c r="E30" s="1659"/>
      <c r="F30" s="1659"/>
      <c r="G30" s="1660" t="s">
        <v>3</v>
      </c>
      <c r="H30" s="1661" t="s">
        <v>0</v>
      </c>
      <c r="J30" s="2690" t="str">
        <f>IF('0 Úvod'!$M$10="English",Slovnik!$E$652,Slovnik!$E$651)</f>
        <v>V případě projektů silniční infrastruktury se po nastavení buňky I51 vypočítá mezera ve financování v tabulce 14.4.</v>
      </c>
      <c r="K30" s="2691"/>
      <c r="L30" s="2691"/>
      <c r="M30" s="2691"/>
      <c r="N30" s="2691"/>
      <c r="O30" s="2691"/>
      <c r="P30" s="2691"/>
      <c r="Q30" s="2691"/>
      <c r="R30" s="2691"/>
      <c r="S30" s="2692"/>
    </row>
    <row r="31" spans="2:29" ht="12.75" customHeight="1" x14ac:dyDescent="0.3">
      <c r="B31" s="1662"/>
      <c r="C31" s="1605" t="str">
        <f>IF('0 Úvod'!$M$10="English",Slovnik!$D$647,Slovnik!$C$647)</f>
        <v>Způsobilé náklady</v>
      </c>
      <c r="D31" s="1663"/>
      <c r="E31" s="1663"/>
      <c r="F31" s="1663"/>
      <c r="G31" s="1678">
        <f>'1 CIN'!E47</f>
        <v>0</v>
      </c>
      <c r="H31" s="1670">
        <f>G31/'0 Úvod'!N18</f>
        <v>0</v>
      </c>
      <c r="J31" s="1882"/>
      <c r="K31" s="1882"/>
      <c r="L31" s="1882"/>
      <c r="M31" s="1882"/>
      <c r="N31" s="1882"/>
      <c r="O31" s="1882"/>
      <c r="P31" s="1882"/>
      <c r="Q31" s="1882"/>
      <c r="R31" s="1882"/>
      <c r="S31" s="1882"/>
    </row>
    <row r="32" spans="2:29" ht="14.25" x14ac:dyDescent="0.3">
      <c r="B32" s="1664"/>
      <c r="C32" s="1607" t="str">
        <f>C25</f>
        <v>Míra finanční mezery ((DIC bez rezervy- čisté příjmy)/DIC bez rezervy)</v>
      </c>
      <c r="D32" s="1665"/>
      <c r="E32" s="1665"/>
      <c r="F32" s="1665"/>
      <c r="G32" s="1679" t="e">
        <f>G25</f>
        <v>#DIV/0!</v>
      </c>
      <c r="H32" s="1674"/>
    </row>
    <row r="33" spans="2:21" ht="14.25" x14ac:dyDescent="0.3">
      <c r="B33" s="1664"/>
      <c r="C33" s="1607" t="str">
        <f>C26</f>
        <v>Rozhodná částka (způsobilé náklady*R)</v>
      </c>
      <c r="D33" s="1665"/>
      <c r="E33" s="1665"/>
      <c r="F33" s="1665"/>
      <c r="G33" s="1673" t="e">
        <f>ROUND(G31*G32,0)</f>
        <v>#DIV/0!</v>
      </c>
      <c r="H33" s="1674" t="e">
        <f>G33/'0 Úvod'!N18</f>
        <v>#DIV/0!</v>
      </c>
      <c r="K33" s="1632"/>
    </row>
    <row r="34" spans="2:21" ht="14.25" x14ac:dyDescent="0.3">
      <c r="B34" s="1664"/>
      <c r="C34" s="1607" t="str">
        <f>C27</f>
        <v>Míra spolufinancování prioritních os (%)</v>
      </c>
      <c r="D34" s="1665"/>
      <c r="E34" s="1665"/>
      <c r="F34" s="1665"/>
      <c r="G34" s="1679">
        <f>G27</f>
        <v>0.85</v>
      </c>
      <c r="H34" s="1674"/>
      <c r="K34" s="1633"/>
    </row>
    <row r="35" spans="2:21" ht="15" thickBot="1" x14ac:dyDescent="0.35">
      <c r="B35" s="1666"/>
      <c r="C35" s="1667" t="str">
        <f>C28</f>
        <v>Příspěvek Společenství</v>
      </c>
      <c r="D35" s="1668"/>
      <c r="E35" s="1668"/>
      <c r="F35" s="1668"/>
      <c r="G35" s="1676" t="e">
        <f>ROUNDDOWN(G33*G34,2)</f>
        <v>#DIV/0!</v>
      </c>
      <c r="H35" s="1677" t="e">
        <f>G35/'0 Úvod'!N18</f>
        <v>#DIV/0!</v>
      </c>
    </row>
    <row r="36" spans="2:21" x14ac:dyDescent="0.3">
      <c r="F36" s="156"/>
    </row>
    <row r="38" spans="2:21" ht="14.25" thickBot="1" x14ac:dyDescent="0.35"/>
    <row r="39" spans="2:21" ht="15" customHeight="1" thickBot="1" x14ac:dyDescent="0.35">
      <c r="B39" s="1654" t="s">
        <v>1306</v>
      </c>
      <c r="C39" s="1655" t="str">
        <f>IF('0 Úvod'!$M$10="English",Slovnik!D752,Slovnik!C752)</f>
        <v>Výpočet míry finanční mezery (vč. DPH) - SILNIČNÍ INFRASTRUKTURA</v>
      </c>
      <c r="D39" s="1655"/>
      <c r="E39" s="1655"/>
      <c r="F39" s="2702" t="str">
        <f>IF('0 Úvod'!$M$10="English",Slovnik!D750,Slovnik!C750)</f>
        <v>Nediskontované</v>
      </c>
      <c r="G39" s="2702"/>
      <c r="H39" s="2703" t="str">
        <f>IF('0 Úvod'!$M$10="English",Slovnik!D751,Slovnik!C751)</f>
        <v>Diskontované</v>
      </c>
      <c r="I39" s="2704"/>
      <c r="L39" s="962"/>
      <c r="N39" s="962"/>
      <c r="U39" s="1880" t="s">
        <v>1317</v>
      </c>
    </row>
    <row r="40" spans="2:21" ht="14.25" x14ac:dyDescent="0.3">
      <c r="B40" s="1662"/>
      <c r="C40" s="1605" t="str">
        <f>IF('0 Úvod'!$M$10="English",Slovnik!D753,Slovnik!C753)</f>
        <v>Celkové investiční náklady - nediskontované</v>
      </c>
      <c r="D40" s="1663"/>
      <c r="E40" s="1663"/>
      <c r="F40" s="2677">
        <f>IF('10 Finanční analýza (FRR_C)'!$S$29="SILNIČNÍ",'1 CIN'!F11+'1 CIN'!F14,0)</f>
        <v>0</v>
      </c>
      <c r="G40" s="2677"/>
      <c r="H40" s="2680"/>
      <c r="I40" s="2681"/>
      <c r="U40" s="1879" t="s">
        <v>1318</v>
      </c>
    </row>
    <row r="41" spans="2:21" ht="14.25" x14ac:dyDescent="0.3">
      <c r="B41" s="1664"/>
      <c r="C41" s="1607" t="str">
        <f>IF('0 Úvod'!$M$10="English",Slovnik!D754,Slovnik!C754)</f>
        <v>Celkové investiční náklady - diskontované</v>
      </c>
      <c r="D41" s="1665"/>
      <c r="E41" s="1665"/>
      <c r="F41" s="2678"/>
      <c r="G41" s="2678"/>
      <c r="H41" s="2682">
        <f>IF('10 Finanční analýza (FRR_C)'!$S$29="SILNIČNÍ",D4,0)</f>
        <v>0</v>
      </c>
      <c r="I41" s="2683"/>
      <c r="U41" s="1879" t="s">
        <v>1319</v>
      </c>
    </row>
    <row r="42" spans="2:21" ht="14.25" x14ac:dyDescent="0.3">
      <c r="B42" s="1664"/>
      <c r="C42" s="1607" t="str">
        <f>IF('0 Úvod'!$M$10="English",Slovnik!D755,Slovnik!C755)</f>
        <v>Zůstatková hodnota - nediskontované</v>
      </c>
      <c r="D42" s="1665"/>
      <c r="E42" s="1665"/>
      <c r="F42" s="2679">
        <f>IF('10 Finanční analýza (FRR_C)'!$S$29="SILNIČNÍ",'2 ZH'!$D$47,0)</f>
        <v>0</v>
      </c>
      <c r="G42" s="2679"/>
      <c r="H42" s="2680"/>
      <c r="I42" s="2681"/>
    </row>
    <row r="43" spans="2:21" ht="14.25" x14ac:dyDescent="0.3">
      <c r="B43" s="1664"/>
      <c r="C43" s="1607" t="str">
        <f>IF('0 Úvod'!$M$10="English",Slovnik!D756,Slovnik!C756)</f>
        <v>Zůstatková hodnota - diskontované</v>
      </c>
      <c r="D43" s="1665"/>
      <c r="E43" s="1665"/>
      <c r="F43" s="2693"/>
      <c r="G43" s="2693"/>
      <c r="H43" s="2682">
        <f>IF('10 Finanční analýza (FRR_C)'!$S$29="SILNIČNÍ",'2 ZH'!$D$50,0)</f>
        <v>0</v>
      </c>
      <c r="I43" s="2683"/>
    </row>
    <row r="44" spans="2:21" ht="14.25" x14ac:dyDescent="0.3">
      <c r="B44" s="1664"/>
      <c r="C44" s="1607" t="str">
        <f>IF('0 Úvod'!$M$10="English",Slovnik!D757,Slovnik!C757)</f>
        <v>Příjmy - diskontované</v>
      </c>
      <c r="D44" s="1665"/>
      <c r="E44" s="1665"/>
      <c r="F44" s="2693"/>
      <c r="G44" s="2693"/>
      <c r="H44" s="2694">
        <f>IF('10 Finanční analýza (FRR_C)'!$S$29="SILNIČNÍ",'8 Příjmy'!E37+NPV(D9,'8 Příjmy'!F37:S37,'8 Příjmy'!E44:S44),0)</f>
        <v>0</v>
      </c>
      <c r="I44" s="2695"/>
    </row>
    <row r="45" spans="2:21" ht="14.25" x14ac:dyDescent="0.3">
      <c r="B45" s="1664"/>
      <c r="C45" s="1607" t="str">
        <f>IF('0 Úvod'!$M$10="English",Slovnik!D758,Slovnik!C758)</f>
        <v>Provozní náklady - diskontované</v>
      </c>
      <c r="D45" s="1665"/>
      <c r="E45" s="1665"/>
      <c r="F45" s="2693"/>
      <c r="G45" s="2693"/>
      <c r="H45" s="2694">
        <f>IF('10 Finanční analýza (FRR_C)'!$S$29="SILNIČNÍ",D6,0)</f>
        <v>0</v>
      </c>
      <c r="I45" s="2695"/>
    </row>
    <row r="46" spans="2:21" ht="14.25" x14ac:dyDescent="0.3">
      <c r="B46" s="1664"/>
      <c r="C46" s="1607" t="str">
        <f>IF('0 Úvod'!$M$10="English",Slovnik!D759,Slovnik!C759)</f>
        <v>Čisté příjmy - diskontované</v>
      </c>
      <c r="D46" s="1665"/>
      <c r="E46" s="1665"/>
      <c r="F46" s="2693"/>
      <c r="G46" s="2693"/>
      <c r="H46" s="2694" t="e">
        <f>(IF(H44&gt;0,H44-H45+H43,(IF(H44=0,(IF(H45&lt;0,H44-H45+H43,0))))))*('1 CIN'!$E$47/'1 CIN'!$F$47)</f>
        <v>#DIV/0!</v>
      </c>
      <c r="I46" s="2695"/>
    </row>
    <row r="47" spans="2:21" ht="14.25" x14ac:dyDescent="0.3">
      <c r="B47" s="1664"/>
      <c r="C47" s="1607" t="str">
        <f>IF('0 Úvod'!$M$10="English",Slovnik!D760,Slovnik!C760)</f>
        <v>Investiční náklady mínus čisté příjmy - diskont.</v>
      </c>
      <c r="D47" s="1665"/>
      <c r="E47" s="1665"/>
      <c r="F47" s="2696"/>
      <c r="G47" s="2696"/>
      <c r="H47" s="2697" t="e">
        <f>H41-H46</f>
        <v>#DIV/0!</v>
      </c>
      <c r="I47" s="2698"/>
    </row>
    <row r="48" spans="2:21" ht="14.25" x14ac:dyDescent="0.3">
      <c r="B48" s="1664"/>
      <c r="C48" s="1607" t="str">
        <f>IF('0 Úvod'!$M$10="English",Slovnik!D761,Slovnik!C761)</f>
        <v>Míra finanční mezery</v>
      </c>
      <c r="D48" s="1665"/>
      <c r="E48" s="1665"/>
      <c r="F48" s="2699">
        <f>IF($I$52="FLAT RATE",0.7,IF(H41=0,0,IF(ROUND(H47/H41,4)&gt;1,1,IF(ROUND(H47/H41,4)&lt;0,0,ROUND(H47/H41,4)))))</f>
        <v>0.7</v>
      </c>
      <c r="G48" s="2700"/>
      <c r="H48" s="2700"/>
      <c r="I48" s="2701"/>
    </row>
    <row r="49" spans="2:9" ht="15" thickBot="1" x14ac:dyDescent="0.35">
      <c r="B49" s="1664"/>
      <c r="C49" s="1607" t="str">
        <f>IF('0 Úvod'!$M$10="English",Slovnik!D762,Slovnik!C762)</f>
        <v>Příspěvek Společenství jako podíl způsobilých nákladů</v>
      </c>
      <c r="D49" s="1665"/>
      <c r="E49" s="1665"/>
      <c r="F49" s="2687">
        <f>F48*0.85</f>
        <v>0.59499999999999997</v>
      </c>
      <c r="G49" s="2688"/>
      <c r="H49" s="2688"/>
      <c r="I49" s="2689"/>
    </row>
    <row r="50" spans="2:9" ht="15" thickBot="1" x14ac:dyDescent="0.35">
      <c r="B50" s="1885"/>
      <c r="C50" s="1886" t="str">
        <f>IF('0 Úvod'!$M$10="English",Slovnik!D646,Slovnik!C646)</f>
        <v>Příspěvek Společenství</v>
      </c>
      <c r="D50" s="1887"/>
      <c r="E50" s="1887"/>
      <c r="F50" s="2684">
        <f>ROUND('1 CIN'!E47*F49,0)</f>
        <v>0</v>
      </c>
      <c r="G50" s="2685"/>
      <c r="H50" s="2685"/>
      <c r="I50" s="2686"/>
    </row>
    <row r="51" spans="2:9" ht="14.25" thickBot="1" x14ac:dyDescent="0.35"/>
    <row r="52" spans="2:9" ht="15" thickBot="1" x14ac:dyDescent="0.35">
      <c r="H52" s="1881" t="str">
        <f>IF('0 Úvod'!$M$10="English",Slovnik!D763,Slovnik!C763)</f>
        <v xml:space="preserve">Způsob stanovení mezery ve financování pro SILNIČNÍ INFRASTRUKTURU: </v>
      </c>
      <c r="I52" s="1555" t="s">
        <v>1318</v>
      </c>
    </row>
    <row r="53" spans="2:9" x14ac:dyDescent="0.3">
      <c r="I53" s="2145" t="str">
        <f>IF('0 Úvod'!$M$10="English","VÝPOČTEM=CALCULATION"," ")</f>
        <v xml:space="preserve"> </v>
      </c>
    </row>
  </sheetData>
  <sheetProtection algorithmName="SHA-512" hashValue="5BJ4dxSZVEt/JEdZ8phkYAXyCptBeYnomlY0M3Y7oYSJiOvcw190BYMPDuSs7rAT0MWJHAemNIEGYzIAbWiDaQ==" saltValue="ZsGaTuJrb9Q4GvWmbPRBAA==" spinCount="100000" sheet="1" formatCells="0" formatColumns="0" formatRows="0" insertColumns="0" insertRows="0" insertHyperlinks="0" deleteColumns="0" deleteRows="0" sort="0" autoFilter="0" pivotTables="0"/>
  <mergeCells count="56">
    <mergeCell ref="F50:I50"/>
    <mergeCell ref="F49:I49"/>
    <mergeCell ref="J30:S30"/>
    <mergeCell ref="F46:G46"/>
    <mergeCell ref="H46:I46"/>
    <mergeCell ref="F47:G47"/>
    <mergeCell ref="H47:I47"/>
    <mergeCell ref="F48:I48"/>
    <mergeCell ref="F43:G43"/>
    <mergeCell ref="H43:I43"/>
    <mergeCell ref="F44:G44"/>
    <mergeCell ref="H44:I44"/>
    <mergeCell ref="F45:G45"/>
    <mergeCell ref="H45:I45"/>
    <mergeCell ref="F39:G39"/>
    <mergeCell ref="H39:I39"/>
    <mergeCell ref="F40:G40"/>
    <mergeCell ref="F41:G41"/>
    <mergeCell ref="F42:G42"/>
    <mergeCell ref="H40:I40"/>
    <mergeCell ref="H41:I41"/>
    <mergeCell ref="H42:I42"/>
    <mergeCell ref="E2:E3"/>
    <mergeCell ref="F2:F3"/>
    <mergeCell ref="G2:G3"/>
    <mergeCell ref="R2:R3"/>
    <mergeCell ref="H2:H3"/>
    <mergeCell ref="I2:I3"/>
    <mergeCell ref="J2:J3"/>
    <mergeCell ref="K2:K3"/>
    <mergeCell ref="J28:S29"/>
    <mergeCell ref="J26:S27"/>
    <mergeCell ref="S2:S3"/>
    <mergeCell ref="L2:L3"/>
    <mergeCell ref="M2:M3"/>
    <mergeCell ref="N2:N3"/>
    <mergeCell ref="O2:O3"/>
    <mergeCell ref="P2:P3"/>
    <mergeCell ref="Q2:Q3"/>
    <mergeCell ref="J24:S25"/>
    <mergeCell ref="J23:S23"/>
    <mergeCell ref="M12:M13"/>
    <mergeCell ref="R12:R13"/>
    <mergeCell ref="S12:S13"/>
    <mergeCell ref="J12:J13"/>
    <mergeCell ref="Q12:Q13"/>
    <mergeCell ref="N12:N13"/>
    <mergeCell ref="O12:O13"/>
    <mergeCell ref="P12:P13"/>
    <mergeCell ref="K12:K13"/>
    <mergeCell ref="L12:L13"/>
    <mergeCell ref="E12:E13"/>
    <mergeCell ref="F12:F13"/>
    <mergeCell ref="G12:G13"/>
    <mergeCell ref="H12:H13"/>
    <mergeCell ref="I12:I13"/>
  </mergeCells>
  <phoneticPr fontId="3" type="noConversion"/>
  <dataValidations count="1">
    <dataValidation type="list" showInputMessage="1" showErrorMessage="1" prompt="V tomto poli je nutné vybrat způsob stanovení mezery ve financování!_x000a__x000a_(In this field, it is necessary to select a way of determining the funding gap!)" sqref="I52" xr:uid="{00000000-0002-0000-0E00-000000000000}">
      <formula1>SAZBA</formula1>
    </dataValidation>
  </dataValidations>
  <pageMargins left="0.39370078740157483" right="0.19685039370078741" top="0.98425196850393704" bottom="0.78740157480314965" header="0.39370078740157483" footer="0.39370078740157483"/>
  <pageSetup paperSize="9" scale="61" fitToHeight="0" orientation="landscape" r:id="rId1"/>
  <headerFooter alignWithMargins="0">
    <oddFooter>&amp;L&amp;A&amp;C&amp;D</oddFooter>
  </headerFooter>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5">
    <pageSetUpPr fitToPage="1"/>
  </sheetPr>
  <dimension ref="B1:AB69"/>
  <sheetViews>
    <sheetView defaultGridColor="0" colorId="23" zoomScale="80" zoomScaleNormal="80" workbookViewId="0"/>
  </sheetViews>
  <sheetFormatPr defaultColWidth="11.42578125" defaultRowHeight="13.5" x14ac:dyDescent="0.25"/>
  <cols>
    <col min="1" max="1" width="2.7109375" style="97" customWidth="1"/>
    <col min="2" max="2" width="5.7109375" style="97" customWidth="1"/>
    <col min="3" max="3" width="46.140625" style="97" customWidth="1"/>
    <col min="4" max="4" width="18.140625" style="97" customWidth="1"/>
    <col min="5" max="28" width="10.7109375" style="97" customWidth="1"/>
    <col min="29" max="16384" width="11.42578125" style="97"/>
  </cols>
  <sheetData>
    <row r="1" spans="2:28" ht="12.75" customHeight="1" thickBot="1" x14ac:dyDescent="0.3"/>
    <row r="2" spans="2:28" ht="13.5" customHeight="1" x14ac:dyDescent="0.25">
      <c r="B2" s="1038" t="s">
        <v>175</v>
      </c>
      <c r="C2" s="1039" t="str">
        <f>IF('0 Úvod'!$M$10="English",Slovnik!D651,Slovnik!C651)</f>
        <v>Zdroje financování projektu (CZK)</v>
      </c>
      <c r="D2" s="1040" t="str">
        <f>IF('0 Úvod'!$M$10="English",Slovnik!$D$665,Slovnik!$C$665)&amp;" "&amp;'0 Úvod'!D18</f>
        <v>CÚ 2020</v>
      </c>
      <c r="E2" s="2321">
        <f>'0 Úvod'!G18</f>
        <v>2021</v>
      </c>
      <c r="F2" s="2323">
        <f>E2+1</f>
        <v>2022</v>
      </c>
      <c r="G2" s="2323">
        <f>F2+1</f>
        <v>2023</v>
      </c>
      <c r="H2" s="2323">
        <f>G2+1</f>
        <v>2024</v>
      </c>
      <c r="I2" s="2323">
        <f t="shared" ref="I2:S2" si="0">H2+1</f>
        <v>2025</v>
      </c>
      <c r="J2" s="2323">
        <f t="shared" si="0"/>
        <v>2026</v>
      </c>
      <c r="K2" s="2323">
        <f t="shared" si="0"/>
        <v>2027</v>
      </c>
      <c r="L2" s="2323">
        <f t="shared" si="0"/>
        <v>2028</v>
      </c>
      <c r="M2" s="2323">
        <f t="shared" si="0"/>
        <v>2029</v>
      </c>
      <c r="N2" s="2323">
        <f t="shared" si="0"/>
        <v>2030</v>
      </c>
      <c r="O2" s="2323">
        <f t="shared" si="0"/>
        <v>2031</v>
      </c>
      <c r="P2" s="2323">
        <f t="shared" si="0"/>
        <v>2032</v>
      </c>
      <c r="Q2" s="2323">
        <f t="shared" si="0"/>
        <v>2033</v>
      </c>
      <c r="R2" s="2323">
        <f t="shared" si="0"/>
        <v>2034</v>
      </c>
      <c r="S2" s="2329">
        <f t="shared" si="0"/>
        <v>2035</v>
      </c>
      <c r="T2" s="978"/>
      <c r="U2" s="978"/>
      <c r="V2" s="978"/>
      <c r="W2" s="978"/>
      <c r="X2" s="978"/>
      <c r="Y2" s="978"/>
      <c r="Z2" s="978"/>
      <c r="AA2" s="978"/>
      <c r="AB2" s="978"/>
    </row>
    <row r="3" spans="2:28" ht="14.25" thickBot="1" x14ac:dyDescent="0.3">
      <c r="B3" s="1041" t="s">
        <v>23</v>
      </c>
      <c r="C3" s="1042" t="str">
        <f>IF('0 Úvod'!$M$10="English",Slovnik!D652,Slovnik!C652)</f>
        <v>Konstantní ceny</v>
      </c>
      <c r="D3" s="1043" t="str">
        <f>IF('0 Úvod'!$M$10="English",Slovnik!$D$666,Slovnik!$C$666)</f>
        <v>Celkem</v>
      </c>
      <c r="E3" s="2322"/>
      <c r="F3" s="2324"/>
      <c r="G3" s="2324"/>
      <c r="H3" s="2324"/>
      <c r="I3" s="2324"/>
      <c r="J3" s="2324"/>
      <c r="K3" s="2324"/>
      <c r="L3" s="2324"/>
      <c r="M3" s="2324"/>
      <c r="N3" s="2324"/>
      <c r="O3" s="2324"/>
      <c r="P3" s="2324"/>
      <c r="Q3" s="2324"/>
      <c r="R3" s="2324"/>
      <c r="S3" s="2330"/>
      <c r="T3" s="978"/>
      <c r="U3" s="978"/>
      <c r="V3" s="978"/>
      <c r="W3" s="978"/>
      <c r="X3" s="978"/>
      <c r="Y3" s="978"/>
      <c r="Z3" s="978"/>
      <c r="AA3" s="978"/>
      <c r="AB3" s="978"/>
    </row>
    <row r="4" spans="2:28" ht="14.25" x14ac:dyDescent="0.3">
      <c r="B4" s="1074"/>
      <c r="C4" s="1075" t="str">
        <f>IF('0 Úvod'!$M$10="English",Slovnik!D653,Slovnik!C653)</f>
        <v>Vlastní zdroje</v>
      </c>
      <c r="D4" s="1090">
        <f>SUM(E4:S4,E19:S19)</f>
        <v>0</v>
      </c>
      <c r="E4" s="29"/>
      <c r="F4" s="29"/>
      <c r="G4" s="29"/>
      <c r="H4" s="29"/>
      <c r="I4" s="29"/>
      <c r="J4" s="29"/>
      <c r="K4" s="29"/>
      <c r="L4" s="29"/>
      <c r="M4" s="29"/>
      <c r="N4" s="29"/>
      <c r="O4" s="29"/>
      <c r="P4" s="29"/>
      <c r="Q4" s="29"/>
      <c r="R4" s="29"/>
      <c r="S4" s="29"/>
      <c r="T4" s="2147"/>
      <c r="U4" s="1024"/>
      <c r="V4" s="1024"/>
      <c r="W4" s="1024"/>
      <c r="X4" s="1024"/>
      <c r="Y4" s="1024"/>
      <c r="Z4" s="1024"/>
      <c r="AA4" s="1024"/>
      <c r="AB4" s="208"/>
    </row>
    <row r="5" spans="2:28" ht="14.25" x14ac:dyDescent="0.3">
      <c r="B5" s="1074"/>
      <c r="C5" s="1074" t="str">
        <f>IF('0 Úvod'!$M$10="English",Slovnik!D654,Slovnik!C654)</f>
        <v>Ostatní zdroje</v>
      </c>
      <c r="D5" s="1091">
        <f t="shared" ref="D5:D15" si="1">SUM(E5:S5,E20:S20)</f>
        <v>0</v>
      </c>
      <c r="E5" s="29"/>
      <c r="F5" s="29"/>
      <c r="G5" s="29"/>
      <c r="H5" s="29"/>
      <c r="I5" s="29"/>
      <c r="J5" s="29"/>
      <c r="K5" s="29"/>
      <c r="L5" s="29"/>
      <c r="M5" s="29"/>
      <c r="N5" s="29"/>
      <c r="O5" s="29"/>
      <c r="P5" s="29"/>
      <c r="Q5" s="29"/>
      <c r="R5" s="29"/>
      <c r="S5" s="29"/>
      <c r="T5" s="2147"/>
      <c r="U5" s="1024"/>
      <c r="V5" s="1024"/>
      <c r="W5" s="1024"/>
      <c r="X5" s="1024"/>
      <c r="Y5" s="1024"/>
      <c r="Z5" s="1024"/>
      <c r="AA5" s="1024"/>
      <c r="AB5" s="208"/>
    </row>
    <row r="6" spans="2:28" ht="14.25" x14ac:dyDescent="0.3">
      <c r="B6" s="1047"/>
      <c r="C6" s="1048" t="str">
        <f>IF('0 Úvod'!$M$10="English",Slovnik!D655,Slovnik!C655)</f>
        <v>Celkové zdroje žadatele</v>
      </c>
      <c r="D6" s="2150">
        <f t="shared" si="1"/>
        <v>0</v>
      </c>
      <c r="E6" s="1093">
        <f t="shared" ref="E6:R6" si="2">E5+E4</f>
        <v>0</v>
      </c>
      <c r="F6" s="1094">
        <f t="shared" si="2"/>
        <v>0</v>
      </c>
      <c r="G6" s="1094">
        <f t="shared" si="2"/>
        <v>0</v>
      </c>
      <c r="H6" s="1094">
        <f t="shared" si="2"/>
        <v>0</v>
      </c>
      <c r="I6" s="1094">
        <f t="shared" si="2"/>
        <v>0</v>
      </c>
      <c r="J6" s="1094">
        <f t="shared" si="2"/>
        <v>0</v>
      </c>
      <c r="K6" s="1094">
        <f t="shared" si="2"/>
        <v>0</v>
      </c>
      <c r="L6" s="1094">
        <f t="shared" si="2"/>
        <v>0</v>
      </c>
      <c r="M6" s="1094">
        <f t="shared" si="2"/>
        <v>0</v>
      </c>
      <c r="N6" s="1094">
        <f t="shared" si="2"/>
        <v>0</v>
      </c>
      <c r="O6" s="1094">
        <f>O5+O4</f>
        <v>0</v>
      </c>
      <c r="P6" s="1094">
        <f t="shared" si="2"/>
        <v>0</v>
      </c>
      <c r="Q6" s="1094">
        <f t="shared" si="2"/>
        <v>0</v>
      </c>
      <c r="R6" s="1094">
        <f t="shared" si="2"/>
        <v>0</v>
      </c>
      <c r="S6" s="1085">
        <f>S5+S4</f>
        <v>0</v>
      </c>
      <c r="T6" s="2148"/>
      <c r="U6" s="220"/>
      <c r="V6" s="220"/>
      <c r="W6" s="220"/>
      <c r="X6" s="220"/>
      <c r="Y6" s="220"/>
      <c r="Z6" s="220"/>
      <c r="AA6" s="220"/>
      <c r="AB6" s="220"/>
    </row>
    <row r="7" spans="2:28" ht="14.25" x14ac:dyDescent="0.3">
      <c r="B7" s="1076"/>
      <c r="C7" s="1076" t="str">
        <f>IF('0 Úvod'!$M$10="English",Slovnik!D656,Slovnik!C656)</f>
        <v>Úvěr (poskytnutý státní správou)</v>
      </c>
      <c r="D7" s="2151">
        <f t="shared" si="1"/>
        <v>0</v>
      </c>
      <c r="E7" s="29"/>
      <c r="F7" s="29"/>
      <c r="G7" s="29"/>
      <c r="H7" s="29"/>
      <c r="I7" s="29"/>
      <c r="J7" s="29"/>
      <c r="K7" s="29"/>
      <c r="L7" s="29"/>
      <c r="M7" s="29"/>
      <c r="N7" s="29"/>
      <c r="O7" s="29"/>
      <c r="P7" s="29"/>
      <c r="Q7" s="29"/>
      <c r="R7" s="29"/>
      <c r="S7" s="29"/>
      <c r="T7" s="2147"/>
      <c r="U7" s="1024"/>
      <c r="V7" s="1024"/>
      <c r="W7" s="1024"/>
      <c r="X7" s="1024"/>
      <c r="Y7" s="1024"/>
      <c r="Z7" s="1024"/>
      <c r="AA7" s="1024"/>
      <c r="AB7" s="208"/>
    </row>
    <row r="8" spans="2:28" ht="14.25" x14ac:dyDescent="0.3">
      <c r="B8" s="1074"/>
      <c r="C8" s="1074" t="str">
        <f>IF('0 Úvod'!$M$10="English",Slovnik!D657,Slovnik!C657)</f>
        <v>Zdroje státního rozpočtu</v>
      </c>
      <c r="D8" s="379">
        <f t="shared" si="1"/>
        <v>0</v>
      </c>
      <c r="E8" s="29"/>
      <c r="F8" s="29"/>
      <c r="G8" s="29"/>
      <c r="H8" s="29"/>
      <c r="I8" s="29"/>
      <c r="J8" s="29"/>
      <c r="K8" s="29"/>
      <c r="L8" s="29"/>
      <c r="M8" s="29"/>
      <c r="N8" s="29"/>
      <c r="O8" s="29"/>
      <c r="P8" s="29"/>
      <c r="Q8" s="29"/>
      <c r="R8" s="29"/>
      <c r="S8" s="29"/>
      <c r="T8" s="2149"/>
      <c r="U8" s="208"/>
      <c r="V8" s="208"/>
      <c r="W8" s="208"/>
      <c r="X8" s="208"/>
      <c r="Y8" s="208"/>
      <c r="Z8" s="208"/>
      <c r="AA8" s="208"/>
      <c r="AB8" s="208"/>
    </row>
    <row r="9" spans="2:28" ht="14.25" x14ac:dyDescent="0.3">
      <c r="B9" s="1077"/>
      <c r="C9" s="1078" t="str">
        <f>IF('0 Úvod'!$M$10="English",Slovnik!D658,Slovnik!C658)</f>
        <v>Národní zdroje</v>
      </c>
      <c r="D9" s="2152">
        <f t="shared" si="1"/>
        <v>0</v>
      </c>
      <c r="E9" s="1095">
        <f t="shared" ref="E9:R9" si="3">E8+E7</f>
        <v>0</v>
      </c>
      <c r="F9" s="1096">
        <f t="shared" si="3"/>
        <v>0</v>
      </c>
      <c r="G9" s="1096">
        <f t="shared" si="3"/>
        <v>0</v>
      </c>
      <c r="H9" s="1096">
        <f t="shared" si="3"/>
        <v>0</v>
      </c>
      <c r="I9" s="1096">
        <f t="shared" si="3"/>
        <v>0</v>
      </c>
      <c r="J9" s="1096">
        <f t="shared" si="3"/>
        <v>0</v>
      </c>
      <c r="K9" s="1096">
        <f t="shared" si="3"/>
        <v>0</v>
      </c>
      <c r="L9" s="1096">
        <f t="shared" si="3"/>
        <v>0</v>
      </c>
      <c r="M9" s="1096">
        <f t="shared" si="3"/>
        <v>0</v>
      </c>
      <c r="N9" s="1096">
        <f t="shared" si="3"/>
        <v>0</v>
      </c>
      <c r="O9" s="1096">
        <f t="shared" si="3"/>
        <v>0</v>
      </c>
      <c r="P9" s="1096">
        <f t="shared" si="3"/>
        <v>0</v>
      </c>
      <c r="Q9" s="1096">
        <f t="shared" si="3"/>
        <v>0</v>
      </c>
      <c r="R9" s="1096">
        <f t="shared" si="3"/>
        <v>0</v>
      </c>
      <c r="S9" s="1097">
        <f>S8+S7</f>
        <v>0</v>
      </c>
      <c r="T9" s="2148"/>
      <c r="U9" s="220"/>
      <c r="V9" s="220"/>
      <c r="W9" s="220"/>
      <c r="X9" s="220"/>
      <c r="Y9" s="220"/>
      <c r="Z9" s="220"/>
      <c r="AA9" s="220"/>
      <c r="AB9" s="220"/>
    </row>
    <row r="10" spans="2:28" ht="15" thickBot="1" x14ac:dyDescent="0.35">
      <c r="B10" s="1074"/>
      <c r="C10" s="1074" t="str">
        <f>IF('0 Úvod'!$M$10="English",Slovnik!D659,Slovnik!C659)</f>
        <v>Granty EU</v>
      </c>
      <c r="D10" s="379">
        <f t="shared" si="1"/>
        <v>0</v>
      </c>
      <c r="E10" s="29"/>
      <c r="F10" s="29"/>
      <c r="G10" s="29"/>
      <c r="H10" s="29"/>
      <c r="I10" s="29"/>
      <c r="J10" s="29"/>
      <c r="K10" s="29"/>
      <c r="L10" s="29"/>
      <c r="M10" s="29"/>
      <c r="N10" s="29"/>
      <c r="O10" s="29"/>
      <c r="P10" s="29"/>
      <c r="Q10" s="29"/>
      <c r="R10" s="29"/>
      <c r="S10" s="29"/>
      <c r="T10" s="2149"/>
      <c r="U10" s="208"/>
      <c r="V10" s="208"/>
      <c r="W10" s="208"/>
      <c r="X10" s="208"/>
      <c r="Y10" s="208"/>
      <c r="Z10" s="208"/>
      <c r="AA10" s="208"/>
      <c r="AB10" s="208"/>
    </row>
    <row r="11" spans="2:28" ht="14.25" x14ac:dyDescent="0.3">
      <c r="B11" s="1025"/>
      <c r="C11" s="1026" t="str">
        <f>IF('0 Úvod'!$M$10="English",Slovnik!D660,Slovnik!C660)</f>
        <v xml:space="preserve">Celkové finanční zdroje (bez rezervy) </v>
      </c>
      <c r="D11" s="427">
        <f t="shared" si="1"/>
        <v>0</v>
      </c>
      <c r="E11" s="2156">
        <f>E6+E9+E10</f>
        <v>0</v>
      </c>
      <c r="F11" s="2157">
        <f>F6+F9+F10</f>
        <v>0</v>
      </c>
      <c r="G11" s="2157">
        <f t="shared" ref="G11:R11" si="4">G6+G9+G10</f>
        <v>0</v>
      </c>
      <c r="H11" s="2157">
        <f t="shared" si="4"/>
        <v>0</v>
      </c>
      <c r="I11" s="2157">
        <f t="shared" si="4"/>
        <v>0</v>
      </c>
      <c r="J11" s="2157">
        <f t="shared" si="4"/>
        <v>0</v>
      </c>
      <c r="K11" s="2157">
        <f t="shared" si="4"/>
        <v>0</v>
      </c>
      <c r="L11" s="2157">
        <f t="shared" si="4"/>
        <v>0</v>
      </c>
      <c r="M11" s="2157">
        <f t="shared" si="4"/>
        <v>0</v>
      </c>
      <c r="N11" s="2157">
        <f t="shared" si="4"/>
        <v>0</v>
      </c>
      <c r="O11" s="2157">
        <f t="shared" si="4"/>
        <v>0</v>
      </c>
      <c r="P11" s="2157">
        <f t="shared" si="4"/>
        <v>0</v>
      </c>
      <c r="Q11" s="2157">
        <f t="shared" si="4"/>
        <v>0</v>
      </c>
      <c r="R11" s="2157">
        <f t="shared" si="4"/>
        <v>0</v>
      </c>
      <c r="S11" s="1087">
        <f>S6+S9+S10</f>
        <v>0</v>
      </c>
      <c r="T11" s="2148"/>
      <c r="U11" s="220"/>
      <c r="V11" s="220"/>
      <c r="W11" s="220"/>
      <c r="X11" s="220"/>
      <c r="Y11" s="220"/>
      <c r="Z11" s="220"/>
      <c r="AA11" s="220"/>
      <c r="AB11" s="220"/>
    </row>
    <row r="12" spans="2:28" ht="14.25" x14ac:dyDescent="0.3">
      <c r="B12" s="1079"/>
      <c r="C12" s="1079" t="str">
        <f>IF('0 Úvod'!$M$10="English",Slovnik!D661,Slovnik!C661)</f>
        <v>Rezerva - vlastní zdroje</v>
      </c>
      <c r="D12" s="379">
        <f t="shared" si="1"/>
        <v>0</v>
      </c>
      <c r="E12" s="1098"/>
      <c r="F12" s="1098"/>
      <c r="G12" s="1098"/>
      <c r="H12" s="1098"/>
      <c r="I12" s="1098"/>
      <c r="J12" s="1098"/>
      <c r="K12" s="1098"/>
      <c r="L12" s="1098"/>
      <c r="M12" s="1098"/>
      <c r="N12" s="1098"/>
      <c r="O12" s="1098"/>
      <c r="P12" s="1098"/>
      <c r="Q12" s="1098"/>
      <c r="R12" s="1098"/>
      <c r="S12" s="1098"/>
      <c r="T12" s="2148"/>
      <c r="U12" s="220"/>
      <c r="V12" s="220"/>
      <c r="W12" s="220"/>
      <c r="X12" s="220"/>
      <c r="Y12" s="220"/>
      <c r="Z12" s="220"/>
      <c r="AA12" s="220"/>
      <c r="AB12" s="220"/>
    </row>
    <row r="13" spans="2:28" ht="14.25" x14ac:dyDescent="0.3">
      <c r="B13" s="1079"/>
      <c r="C13" s="1079" t="str">
        <f>IF('0 Úvod'!$M$10="English",Slovnik!D662,Slovnik!C662)</f>
        <v>Rezerva - EU granty</v>
      </c>
      <c r="D13" s="2153">
        <f t="shared" si="1"/>
        <v>0</v>
      </c>
      <c r="E13" s="1098"/>
      <c r="F13" s="1098"/>
      <c r="G13" s="1098"/>
      <c r="H13" s="1098"/>
      <c r="I13" s="1098"/>
      <c r="J13" s="1098"/>
      <c r="K13" s="1098"/>
      <c r="L13" s="1098"/>
      <c r="M13" s="1098"/>
      <c r="N13" s="1098"/>
      <c r="O13" s="1098"/>
      <c r="P13" s="1098"/>
      <c r="Q13" s="1098"/>
      <c r="R13" s="1098"/>
      <c r="S13" s="1098"/>
      <c r="T13" s="2148"/>
      <c r="U13" s="220"/>
      <c r="V13" s="220"/>
      <c r="W13" s="220"/>
      <c r="X13" s="220"/>
      <c r="Y13" s="220"/>
      <c r="Z13" s="220"/>
      <c r="AA13" s="220"/>
      <c r="AB13" s="220"/>
    </row>
    <row r="14" spans="2:28" ht="14.25" x14ac:dyDescent="0.3">
      <c r="B14" s="1077"/>
      <c r="C14" s="1080" t="str">
        <f>IF('0 Úvod'!$M$10="English",Slovnik!D663,Slovnik!C663)</f>
        <v>Rezerva celkem</v>
      </c>
      <c r="D14" s="1092">
        <f t="shared" si="1"/>
        <v>0</v>
      </c>
      <c r="E14" s="1095">
        <f>E12+E13</f>
        <v>0</v>
      </c>
      <c r="F14" s="1096">
        <f>F12+F13</f>
        <v>0</v>
      </c>
      <c r="G14" s="1096">
        <f>G12+G13</f>
        <v>0</v>
      </c>
      <c r="H14" s="1096">
        <f>H12+H13</f>
        <v>0</v>
      </c>
      <c r="I14" s="1096">
        <f t="shared" ref="I14:R14" si="5">I12+I13</f>
        <v>0</v>
      </c>
      <c r="J14" s="1096">
        <f t="shared" si="5"/>
        <v>0</v>
      </c>
      <c r="K14" s="1096">
        <f t="shared" si="5"/>
        <v>0</v>
      </c>
      <c r="L14" s="1096">
        <f t="shared" si="5"/>
        <v>0</v>
      </c>
      <c r="M14" s="1096">
        <f t="shared" si="5"/>
        <v>0</v>
      </c>
      <c r="N14" s="1096">
        <f t="shared" si="5"/>
        <v>0</v>
      </c>
      <c r="O14" s="1096">
        <f t="shared" si="5"/>
        <v>0</v>
      </c>
      <c r="P14" s="1096">
        <f t="shared" si="5"/>
        <v>0</v>
      </c>
      <c r="Q14" s="1096">
        <f t="shared" si="5"/>
        <v>0</v>
      </c>
      <c r="R14" s="1096">
        <f t="shared" si="5"/>
        <v>0</v>
      </c>
      <c r="S14" s="1097">
        <f>S12+S13</f>
        <v>0</v>
      </c>
      <c r="T14" s="2148"/>
      <c r="U14" s="220"/>
      <c r="V14" s="220"/>
      <c r="W14" s="220"/>
      <c r="X14" s="220"/>
      <c r="Y14" s="220"/>
      <c r="Z14" s="220"/>
      <c r="AA14" s="220"/>
      <c r="AB14" s="220"/>
    </row>
    <row r="15" spans="2:28" ht="15" thickBot="1" x14ac:dyDescent="0.35">
      <c r="B15" s="1027"/>
      <c r="C15" s="1028" t="str">
        <f>IF('0 Úvod'!$M$10="English",Slovnik!D664,Slovnik!C664)</f>
        <v>Celkové finanční zdroje</v>
      </c>
      <c r="D15" s="1029">
        <f t="shared" si="1"/>
        <v>0</v>
      </c>
      <c r="E15" s="1099">
        <f>E11+E14</f>
        <v>0</v>
      </c>
      <c r="F15" s="1100">
        <f>F11+F14</f>
        <v>0</v>
      </c>
      <c r="G15" s="1100">
        <f>G11+G14</f>
        <v>0</v>
      </c>
      <c r="H15" s="1100">
        <f>H11+H14</f>
        <v>0</v>
      </c>
      <c r="I15" s="1100">
        <f t="shared" ref="I15:R15" si="6">I11+I14</f>
        <v>0</v>
      </c>
      <c r="J15" s="1100">
        <f t="shared" si="6"/>
        <v>0</v>
      </c>
      <c r="K15" s="1100">
        <f t="shared" si="6"/>
        <v>0</v>
      </c>
      <c r="L15" s="1100">
        <f t="shared" si="6"/>
        <v>0</v>
      </c>
      <c r="M15" s="1100">
        <f t="shared" si="6"/>
        <v>0</v>
      </c>
      <c r="N15" s="1100">
        <f t="shared" si="6"/>
        <v>0</v>
      </c>
      <c r="O15" s="1100">
        <f t="shared" si="6"/>
        <v>0</v>
      </c>
      <c r="P15" s="1100">
        <f t="shared" si="6"/>
        <v>0</v>
      </c>
      <c r="Q15" s="1100">
        <f t="shared" si="6"/>
        <v>0</v>
      </c>
      <c r="R15" s="1100">
        <f t="shared" si="6"/>
        <v>0</v>
      </c>
      <c r="S15" s="250">
        <f>S11+S14</f>
        <v>0</v>
      </c>
      <c r="T15" s="208"/>
      <c r="U15" s="208"/>
      <c r="V15" s="208"/>
      <c r="W15" s="208"/>
      <c r="X15" s="208"/>
      <c r="Y15" s="208"/>
      <c r="Z15" s="208"/>
      <c r="AA15" s="208"/>
      <c r="AB15" s="208"/>
    </row>
    <row r="16" spans="2:28" ht="14.25" thickBot="1" x14ac:dyDescent="0.3">
      <c r="D16" s="1030"/>
    </row>
    <row r="17" spans="2:28" x14ac:dyDescent="0.25">
      <c r="B17" s="993" t="s">
        <v>175</v>
      </c>
      <c r="C17" s="1044" t="str">
        <f>C2</f>
        <v>Zdroje financování projektu (CZK)</v>
      </c>
      <c r="D17" s="1040" t="str">
        <f>D2</f>
        <v>CÚ 2020</v>
      </c>
      <c r="E17" s="2321">
        <f>S2+1</f>
        <v>2036</v>
      </c>
      <c r="F17" s="2323">
        <f>E17+1</f>
        <v>2037</v>
      </c>
      <c r="G17" s="2323">
        <f>F17+1</f>
        <v>2038</v>
      </c>
      <c r="H17" s="2323">
        <f>G17+1</f>
        <v>2039</v>
      </c>
      <c r="I17" s="2323">
        <f t="shared" ref="I17:S17" si="7">H17+1</f>
        <v>2040</v>
      </c>
      <c r="J17" s="2323">
        <f t="shared" si="7"/>
        <v>2041</v>
      </c>
      <c r="K17" s="2323">
        <f t="shared" si="7"/>
        <v>2042</v>
      </c>
      <c r="L17" s="2323">
        <f t="shared" si="7"/>
        <v>2043</v>
      </c>
      <c r="M17" s="2323">
        <f t="shared" si="7"/>
        <v>2044</v>
      </c>
      <c r="N17" s="2323">
        <f t="shared" si="7"/>
        <v>2045</v>
      </c>
      <c r="O17" s="2323">
        <f t="shared" si="7"/>
        <v>2046</v>
      </c>
      <c r="P17" s="2323">
        <f t="shared" si="7"/>
        <v>2047</v>
      </c>
      <c r="Q17" s="2323">
        <f t="shared" si="7"/>
        <v>2048</v>
      </c>
      <c r="R17" s="2323">
        <f t="shared" si="7"/>
        <v>2049</v>
      </c>
      <c r="S17" s="2329">
        <f t="shared" si="7"/>
        <v>2050</v>
      </c>
      <c r="T17" s="978"/>
      <c r="U17" s="978"/>
      <c r="V17" s="978"/>
      <c r="W17" s="978"/>
      <c r="X17" s="978"/>
      <c r="Y17" s="978"/>
      <c r="Z17" s="978"/>
      <c r="AA17" s="978"/>
      <c r="AB17" s="978"/>
    </row>
    <row r="18" spans="2:28" ht="14.25" thickBot="1" x14ac:dyDescent="0.3">
      <c r="B18" s="1045" t="s">
        <v>24</v>
      </c>
      <c r="C18" s="1046" t="str">
        <f t="shared" ref="C18:C30" si="8">C3</f>
        <v>Konstantní ceny</v>
      </c>
      <c r="D18" s="1089"/>
      <c r="E18" s="2322"/>
      <c r="F18" s="2324"/>
      <c r="G18" s="2324"/>
      <c r="H18" s="2324"/>
      <c r="I18" s="2324"/>
      <c r="J18" s="2324"/>
      <c r="K18" s="2324"/>
      <c r="L18" s="2324"/>
      <c r="M18" s="2324"/>
      <c r="N18" s="2324"/>
      <c r="O18" s="2324"/>
      <c r="P18" s="2324"/>
      <c r="Q18" s="2324"/>
      <c r="R18" s="2324"/>
      <c r="S18" s="2330"/>
      <c r="T18" s="978"/>
      <c r="U18" s="978"/>
      <c r="V18" s="978"/>
      <c r="W18" s="978"/>
      <c r="X18" s="978"/>
      <c r="Y18" s="978"/>
      <c r="Z18" s="978"/>
      <c r="AA18" s="978"/>
      <c r="AB18" s="978"/>
    </row>
    <row r="19" spans="2:28" ht="14.25" x14ac:dyDescent="0.3">
      <c r="B19" s="1074"/>
      <c r="C19" s="1007" t="str">
        <f t="shared" si="8"/>
        <v>Vlastní zdroje</v>
      </c>
      <c r="D19" s="1084"/>
      <c r="E19" s="29"/>
      <c r="F19" s="29"/>
      <c r="G19" s="29"/>
      <c r="H19" s="29"/>
      <c r="I19" s="29"/>
      <c r="J19" s="29"/>
      <c r="K19" s="29"/>
      <c r="L19" s="29"/>
      <c r="M19" s="29"/>
      <c r="N19" s="29"/>
      <c r="O19" s="29"/>
      <c r="P19" s="29"/>
      <c r="Q19" s="29"/>
      <c r="R19" s="29"/>
      <c r="S19" s="29"/>
      <c r="T19" s="2147"/>
      <c r="U19" s="1024"/>
      <c r="V19" s="1024"/>
      <c r="W19" s="1024"/>
      <c r="X19" s="1024"/>
      <c r="Y19" s="1024"/>
      <c r="Z19" s="1024"/>
      <c r="AA19" s="1024"/>
      <c r="AB19" s="208"/>
    </row>
    <row r="20" spans="2:28" ht="14.25" x14ac:dyDescent="0.3">
      <c r="B20" s="1074"/>
      <c r="C20" s="59" t="str">
        <f t="shared" si="8"/>
        <v>Ostatní zdroje</v>
      </c>
      <c r="D20" s="255"/>
      <c r="E20" s="29"/>
      <c r="F20" s="29"/>
      <c r="G20" s="29"/>
      <c r="H20" s="29"/>
      <c r="I20" s="29"/>
      <c r="J20" s="29"/>
      <c r="K20" s="29"/>
      <c r="L20" s="29"/>
      <c r="M20" s="29"/>
      <c r="N20" s="29"/>
      <c r="O20" s="29"/>
      <c r="P20" s="29"/>
      <c r="Q20" s="29"/>
      <c r="R20" s="29"/>
      <c r="S20" s="29"/>
      <c r="T20" s="2147"/>
      <c r="U20" s="1024"/>
      <c r="V20" s="1024"/>
      <c r="W20" s="1024"/>
      <c r="X20" s="1024"/>
      <c r="Y20" s="1024"/>
      <c r="Z20" s="1024"/>
      <c r="AA20" s="1024"/>
      <c r="AB20" s="208"/>
    </row>
    <row r="21" spans="2:28" ht="14.25" x14ac:dyDescent="0.3">
      <c r="B21" s="1047"/>
      <c r="C21" s="1050" t="str">
        <f t="shared" si="8"/>
        <v>Celkové zdroje žadatele</v>
      </c>
      <c r="D21" s="1085"/>
      <c r="E21" s="1093">
        <f t="shared" ref="E21:R21" si="9">E20+E19</f>
        <v>0</v>
      </c>
      <c r="F21" s="1094">
        <f t="shared" si="9"/>
        <v>0</v>
      </c>
      <c r="G21" s="1094">
        <f t="shared" si="9"/>
        <v>0</v>
      </c>
      <c r="H21" s="1094">
        <f t="shared" si="9"/>
        <v>0</v>
      </c>
      <c r="I21" s="1094">
        <f t="shared" si="9"/>
        <v>0</v>
      </c>
      <c r="J21" s="1094">
        <f t="shared" si="9"/>
        <v>0</v>
      </c>
      <c r="K21" s="1094">
        <f t="shared" si="9"/>
        <v>0</v>
      </c>
      <c r="L21" s="1094">
        <f t="shared" si="9"/>
        <v>0</v>
      </c>
      <c r="M21" s="1094">
        <f t="shared" si="9"/>
        <v>0</v>
      </c>
      <c r="N21" s="1094">
        <f t="shared" si="9"/>
        <v>0</v>
      </c>
      <c r="O21" s="1094">
        <f t="shared" si="9"/>
        <v>0</v>
      </c>
      <c r="P21" s="1094">
        <f t="shared" si="9"/>
        <v>0</v>
      </c>
      <c r="Q21" s="1094">
        <f t="shared" si="9"/>
        <v>0</v>
      </c>
      <c r="R21" s="1094">
        <f t="shared" si="9"/>
        <v>0</v>
      </c>
      <c r="S21" s="1085">
        <f>S20+S19</f>
        <v>0</v>
      </c>
      <c r="T21" s="2148"/>
      <c r="U21" s="220"/>
      <c r="V21" s="220"/>
      <c r="W21" s="220"/>
      <c r="X21" s="220"/>
      <c r="Y21" s="220"/>
      <c r="Z21" s="220"/>
      <c r="AA21" s="220"/>
      <c r="AB21" s="220"/>
    </row>
    <row r="22" spans="2:28" ht="14.25" x14ac:dyDescent="0.3">
      <c r="B22" s="1076"/>
      <c r="C22" s="1081" t="str">
        <f t="shared" si="8"/>
        <v>Úvěr (poskytnutý státní správou)</v>
      </c>
      <c r="D22" s="2154"/>
      <c r="E22" s="29"/>
      <c r="F22" s="29"/>
      <c r="G22" s="29"/>
      <c r="H22" s="29"/>
      <c r="I22" s="29"/>
      <c r="J22" s="29"/>
      <c r="K22" s="29"/>
      <c r="L22" s="29"/>
      <c r="M22" s="29"/>
      <c r="N22" s="29"/>
      <c r="O22" s="29"/>
      <c r="P22" s="29"/>
      <c r="Q22" s="29"/>
      <c r="R22" s="29"/>
      <c r="S22" s="29"/>
      <c r="T22" s="2147"/>
      <c r="U22" s="1024"/>
      <c r="V22" s="1024"/>
      <c r="W22" s="1024"/>
      <c r="X22" s="1024"/>
      <c r="Y22" s="1024"/>
      <c r="Z22" s="1024"/>
      <c r="AA22" s="1024"/>
      <c r="AB22" s="208"/>
    </row>
    <row r="23" spans="2:28" ht="14.25" x14ac:dyDescent="0.3">
      <c r="B23" s="1074"/>
      <c r="C23" s="59" t="str">
        <f t="shared" si="8"/>
        <v>Zdroje státního rozpočtu</v>
      </c>
      <c r="D23" s="1018"/>
      <c r="E23" s="29"/>
      <c r="F23" s="29"/>
      <c r="G23" s="29"/>
      <c r="H23" s="29"/>
      <c r="I23" s="29"/>
      <c r="J23" s="29"/>
      <c r="K23" s="29"/>
      <c r="L23" s="29"/>
      <c r="M23" s="29"/>
      <c r="N23" s="29"/>
      <c r="O23" s="29"/>
      <c r="P23" s="29"/>
      <c r="Q23" s="29"/>
      <c r="R23" s="29"/>
      <c r="S23" s="29"/>
      <c r="T23" s="2149"/>
      <c r="U23" s="208"/>
      <c r="V23" s="208"/>
      <c r="W23" s="208"/>
      <c r="X23" s="208"/>
      <c r="Y23" s="208"/>
      <c r="Z23" s="208"/>
      <c r="AA23" s="208"/>
      <c r="AB23" s="208"/>
    </row>
    <row r="24" spans="2:28" ht="14.25" x14ac:dyDescent="0.3">
      <c r="B24" s="1077"/>
      <c r="C24" s="1082" t="str">
        <f t="shared" si="8"/>
        <v>Národní zdroje</v>
      </c>
      <c r="D24" s="1086"/>
      <c r="E24" s="1095">
        <f t="shared" ref="E24:R24" si="10">E23+E22</f>
        <v>0</v>
      </c>
      <c r="F24" s="1096">
        <f t="shared" si="10"/>
        <v>0</v>
      </c>
      <c r="G24" s="1096">
        <f t="shared" si="10"/>
        <v>0</v>
      </c>
      <c r="H24" s="1096">
        <f t="shared" si="10"/>
        <v>0</v>
      </c>
      <c r="I24" s="1096">
        <f t="shared" si="10"/>
        <v>0</v>
      </c>
      <c r="J24" s="1096">
        <f t="shared" si="10"/>
        <v>0</v>
      </c>
      <c r="K24" s="1096">
        <f t="shared" si="10"/>
        <v>0</v>
      </c>
      <c r="L24" s="1096">
        <f t="shared" si="10"/>
        <v>0</v>
      </c>
      <c r="M24" s="1096">
        <f t="shared" si="10"/>
        <v>0</v>
      </c>
      <c r="N24" s="1096">
        <f t="shared" si="10"/>
        <v>0</v>
      </c>
      <c r="O24" s="1096">
        <f t="shared" si="10"/>
        <v>0</v>
      </c>
      <c r="P24" s="1096">
        <f t="shared" si="10"/>
        <v>0</v>
      </c>
      <c r="Q24" s="1096">
        <f t="shared" si="10"/>
        <v>0</v>
      </c>
      <c r="R24" s="1096">
        <f t="shared" si="10"/>
        <v>0</v>
      </c>
      <c r="S24" s="1097">
        <f>S23+S22</f>
        <v>0</v>
      </c>
      <c r="T24" s="2148"/>
      <c r="U24" s="220"/>
      <c r="V24" s="220"/>
      <c r="W24" s="220"/>
      <c r="X24" s="220"/>
      <c r="Y24" s="220"/>
      <c r="Z24" s="220"/>
      <c r="AA24" s="220"/>
      <c r="AB24" s="220"/>
    </row>
    <row r="25" spans="2:28" ht="15" thickBot="1" x14ac:dyDescent="0.35">
      <c r="B25" s="1074"/>
      <c r="C25" s="59" t="str">
        <f t="shared" si="8"/>
        <v>Granty EU</v>
      </c>
      <c r="D25" s="1018"/>
      <c r="E25" s="29"/>
      <c r="F25" s="29"/>
      <c r="G25" s="29"/>
      <c r="H25" s="29"/>
      <c r="I25" s="29"/>
      <c r="J25" s="29"/>
      <c r="K25" s="29"/>
      <c r="L25" s="29"/>
      <c r="M25" s="29"/>
      <c r="N25" s="29"/>
      <c r="O25" s="29"/>
      <c r="P25" s="29"/>
      <c r="Q25" s="29"/>
      <c r="R25" s="29"/>
      <c r="S25" s="29"/>
      <c r="T25" s="2149"/>
      <c r="U25" s="208"/>
      <c r="V25" s="208"/>
      <c r="W25" s="208"/>
      <c r="X25" s="208"/>
      <c r="Y25" s="208"/>
      <c r="Z25" s="208"/>
      <c r="AA25" s="208"/>
      <c r="AB25" s="208"/>
    </row>
    <row r="26" spans="2:28" ht="14.25" x14ac:dyDescent="0.3">
      <c r="B26" s="1025"/>
      <c r="C26" s="1032" t="str">
        <f t="shared" si="8"/>
        <v xml:space="preserve">Celkové finanční zdroje (bez rezervy) </v>
      </c>
      <c r="D26" s="1087"/>
      <c r="E26" s="2156">
        <f t="shared" ref="E26:R26" si="11">E21+E24+E25</f>
        <v>0</v>
      </c>
      <c r="F26" s="2157">
        <f t="shared" si="11"/>
        <v>0</v>
      </c>
      <c r="G26" s="2157">
        <f t="shared" si="11"/>
        <v>0</v>
      </c>
      <c r="H26" s="2157">
        <f t="shared" si="11"/>
        <v>0</v>
      </c>
      <c r="I26" s="2157">
        <f t="shared" si="11"/>
        <v>0</v>
      </c>
      <c r="J26" s="2157">
        <f t="shared" si="11"/>
        <v>0</v>
      </c>
      <c r="K26" s="2157">
        <f t="shared" si="11"/>
        <v>0</v>
      </c>
      <c r="L26" s="2157">
        <f t="shared" si="11"/>
        <v>0</v>
      </c>
      <c r="M26" s="2157">
        <f t="shared" si="11"/>
        <v>0</v>
      </c>
      <c r="N26" s="2157">
        <f t="shared" si="11"/>
        <v>0</v>
      </c>
      <c r="O26" s="2157">
        <f t="shared" si="11"/>
        <v>0</v>
      </c>
      <c r="P26" s="2157">
        <f t="shared" si="11"/>
        <v>0</v>
      </c>
      <c r="Q26" s="2157">
        <f t="shared" si="11"/>
        <v>0</v>
      </c>
      <c r="R26" s="2157">
        <f t="shared" si="11"/>
        <v>0</v>
      </c>
      <c r="S26" s="1087">
        <f>S21+S24+S25</f>
        <v>0</v>
      </c>
      <c r="T26" s="2148"/>
      <c r="U26" s="220"/>
      <c r="V26" s="220"/>
      <c r="W26" s="220"/>
      <c r="X26" s="220"/>
      <c r="Y26" s="220"/>
      <c r="Z26" s="220"/>
      <c r="AA26" s="220"/>
      <c r="AB26" s="220"/>
    </row>
    <row r="27" spans="2:28" ht="14.25" x14ac:dyDescent="0.3">
      <c r="B27" s="1079"/>
      <c r="C27" s="74" t="str">
        <f t="shared" si="8"/>
        <v>Rezerva - vlastní zdroje</v>
      </c>
      <c r="D27" s="1018"/>
      <c r="E27" s="1098"/>
      <c r="F27" s="1098"/>
      <c r="G27" s="1098"/>
      <c r="H27" s="1098"/>
      <c r="I27" s="1098"/>
      <c r="J27" s="1098"/>
      <c r="K27" s="1098"/>
      <c r="L27" s="1098"/>
      <c r="M27" s="1098"/>
      <c r="N27" s="1098"/>
      <c r="O27" s="1098"/>
      <c r="P27" s="1098"/>
      <c r="Q27" s="1098"/>
      <c r="R27" s="1098"/>
      <c r="S27" s="1098"/>
      <c r="T27" s="2148"/>
      <c r="U27" s="220"/>
      <c r="V27" s="220"/>
      <c r="W27" s="220"/>
      <c r="X27" s="220"/>
      <c r="Y27" s="220"/>
      <c r="Z27" s="220"/>
      <c r="AA27" s="220"/>
      <c r="AB27" s="220"/>
    </row>
    <row r="28" spans="2:28" ht="14.25" x14ac:dyDescent="0.3">
      <c r="B28" s="1079"/>
      <c r="C28" s="74" t="str">
        <f t="shared" si="8"/>
        <v>Rezerva - EU granty</v>
      </c>
      <c r="D28" s="2155"/>
      <c r="E28" s="1098"/>
      <c r="F28" s="1098"/>
      <c r="G28" s="1098"/>
      <c r="H28" s="1098"/>
      <c r="I28" s="1098"/>
      <c r="J28" s="1098"/>
      <c r="K28" s="1098"/>
      <c r="L28" s="1098"/>
      <c r="M28" s="1098"/>
      <c r="N28" s="1098"/>
      <c r="O28" s="1098"/>
      <c r="P28" s="1098"/>
      <c r="Q28" s="1098"/>
      <c r="R28" s="1098"/>
      <c r="S28" s="1098"/>
      <c r="T28" s="2148"/>
      <c r="U28" s="220"/>
      <c r="V28" s="220"/>
      <c r="W28" s="220"/>
      <c r="X28" s="220"/>
      <c r="Y28" s="220"/>
      <c r="Z28" s="220"/>
      <c r="AA28" s="220"/>
      <c r="AB28" s="220"/>
    </row>
    <row r="29" spans="2:28" ht="14.25" x14ac:dyDescent="0.3">
      <c r="B29" s="1077"/>
      <c r="C29" s="1083" t="str">
        <f t="shared" si="8"/>
        <v>Rezerva celkem</v>
      </c>
      <c r="D29" s="1086"/>
      <c r="E29" s="1095">
        <f>E27+E28</f>
        <v>0</v>
      </c>
      <c r="F29" s="1096">
        <f>F27+F28</f>
        <v>0</v>
      </c>
      <c r="G29" s="1096">
        <f>G27+G28</f>
        <v>0</v>
      </c>
      <c r="H29" s="1096">
        <f>H27+H28</f>
        <v>0</v>
      </c>
      <c r="I29" s="1096">
        <f t="shared" ref="I29:R29" si="12">I27+I28</f>
        <v>0</v>
      </c>
      <c r="J29" s="1096">
        <f t="shared" si="12"/>
        <v>0</v>
      </c>
      <c r="K29" s="1096">
        <f t="shared" si="12"/>
        <v>0</v>
      </c>
      <c r="L29" s="1096">
        <f t="shared" si="12"/>
        <v>0</v>
      </c>
      <c r="M29" s="1096">
        <f t="shared" si="12"/>
        <v>0</v>
      </c>
      <c r="N29" s="1096">
        <f t="shared" si="12"/>
        <v>0</v>
      </c>
      <c r="O29" s="1096">
        <f t="shared" si="12"/>
        <v>0</v>
      </c>
      <c r="P29" s="1096">
        <f t="shared" si="12"/>
        <v>0</v>
      </c>
      <c r="Q29" s="1096">
        <f t="shared" si="12"/>
        <v>0</v>
      </c>
      <c r="R29" s="1096">
        <f t="shared" si="12"/>
        <v>0</v>
      </c>
      <c r="S29" s="1097">
        <f>S27+S28</f>
        <v>0</v>
      </c>
      <c r="T29" s="2148"/>
      <c r="U29" s="220"/>
      <c r="V29" s="220"/>
      <c r="W29" s="220"/>
      <c r="X29" s="220"/>
      <c r="Y29" s="220"/>
      <c r="Z29" s="220"/>
      <c r="AA29" s="220"/>
      <c r="AB29" s="220"/>
    </row>
    <row r="30" spans="2:28" ht="15" thickBot="1" x14ac:dyDescent="0.35">
      <c r="B30" s="1027"/>
      <c r="C30" s="1033" t="str">
        <f t="shared" si="8"/>
        <v>Celkové finanční zdroje</v>
      </c>
      <c r="D30" s="1088"/>
      <c r="E30" s="1099">
        <f>E26+E29</f>
        <v>0</v>
      </c>
      <c r="F30" s="1100">
        <f>F26+F29</f>
        <v>0</v>
      </c>
      <c r="G30" s="1100">
        <f>G26+G29</f>
        <v>0</v>
      </c>
      <c r="H30" s="1100">
        <f>H26+H29</f>
        <v>0</v>
      </c>
      <c r="I30" s="1100">
        <f t="shared" ref="I30:R30" si="13">I26+I29</f>
        <v>0</v>
      </c>
      <c r="J30" s="1100">
        <f t="shared" si="13"/>
        <v>0</v>
      </c>
      <c r="K30" s="1100">
        <f t="shared" si="13"/>
        <v>0</v>
      </c>
      <c r="L30" s="1100">
        <f t="shared" si="13"/>
        <v>0</v>
      </c>
      <c r="M30" s="1100">
        <f t="shared" si="13"/>
        <v>0</v>
      </c>
      <c r="N30" s="1100">
        <f t="shared" si="13"/>
        <v>0</v>
      </c>
      <c r="O30" s="1100">
        <f t="shared" si="13"/>
        <v>0</v>
      </c>
      <c r="P30" s="1100">
        <f t="shared" si="13"/>
        <v>0</v>
      </c>
      <c r="Q30" s="1100">
        <f t="shared" si="13"/>
        <v>0</v>
      </c>
      <c r="R30" s="1100">
        <f t="shared" si="13"/>
        <v>0</v>
      </c>
      <c r="S30" s="250">
        <f>S26+S29</f>
        <v>0</v>
      </c>
      <c r="T30" s="208"/>
      <c r="U30" s="208"/>
      <c r="V30" s="208"/>
      <c r="W30" s="208"/>
      <c r="X30" s="208"/>
      <c r="Y30" s="208"/>
      <c r="Z30" s="208"/>
      <c r="AA30" s="208"/>
      <c r="AB30" s="208"/>
    </row>
    <row r="31" spans="2:28" ht="14.25" x14ac:dyDescent="0.3">
      <c r="B31" s="1034"/>
      <c r="C31" s="231"/>
      <c r="D31" s="103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row>
    <row r="32" spans="2:28" ht="15" thickBot="1" x14ac:dyDescent="0.35">
      <c r="B32" s="1030"/>
      <c r="C32" s="25"/>
      <c r="D32" s="228"/>
      <c r="E32" s="215"/>
      <c r="F32" s="215"/>
      <c r="G32" s="1030"/>
    </row>
    <row r="33" spans="2:28" ht="12.75" customHeight="1" x14ac:dyDescent="0.3">
      <c r="B33" s="1067" t="s">
        <v>176</v>
      </c>
      <c r="C33" s="1068" t="str">
        <f>C17</f>
        <v>Zdroje financování projektu (CZK)</v>
      </c>
      <c r="D33" s="1069"/>
      <c r="E33" s="2707">
        <f>E2</f>
        <v>2021</v>
      </c>
      <c r="F33" s="2709">
        <f>E33+1</f>
        <v>2022</v>
      </c>
      <c r="G33" s="2709">
        <f>F33+1</f>
        <v>2023</v>
      </c>
      <c r="H33" s="2709">
        <f>G33+1</f>
        <v>2024</v>
      </c>
      <c r="I33" s="2709">
        <f t="shared" ref="I33:S33" si="14">H33+1</f>
        <v>2025</v>
      </c>
      <c r="J33" s="2709">
        <f t="shared" si="14"/>
        <v>2026</v>
      </c>
      <c r="K33" s="2709">
        <f t="shared" si="14"/>
        <v>2027</v>
      </c>
      <c r="L33" s="2709">
        <f t="shared" si="14"/>
        <v>2028</v>
      </c>
      <c r="M33" s="2709">
        <f t="shared" si="14"/>
        <v>2029</v>
      </c>
      <c r="N33" s="2709">
        <f t="shared" si="14"/>
        <v>2030</v>
      </c>
      <c r="O33" s="2709">
        <f t="shared" si="14"/>
        <v>2031</v>
      </c>
      <c r="P33" s="2709">
        <f t="shared" si="14"/>
        <v>2032</v>
      </c>
      <c r="Q33" s="2709">
        <f t="shared" si="14"/>
        <v>2033</v>
      </c>
      <c r="R33" s="2709">
        <f t="shared" si="14"/>
        <v>2034</v>
      </c>
      <c r="S33" s="2705">
        <f t="shared" si="14"/>
        <v>2035</v>
      </c>
      <c r="T33" s="978"/>
      <c r="U33" s="978"/>
      <c r="V33" s="978"/>
      <c r="W33" s="978"/>
      <c r="X33" s="978"/>
      <c r="Y33" s="978"/>
      <c r="Z33" s="978"/>
      <c r="AA33" s="978"/>
      <c r="AB33" s="978"/>
    </row>
    <row r="34" spans="2:28" ht="14.25" thickBot="1" x14ac:dyDescent="0.3">
      <c r="B34" s="1070" t="s">
        <v>23</v>
      </c>
      <c r="C34" s="1071" t="str">
        <f>IF('0 Úvod'!$M$10="English",Slovnik!$D$667,Slovnik!$C$667)</f>
        <v>Běžné ceny</v>
      </c>
      <c r="D34" s="1072" t="str">
        <f>D3</f>
        <v>Celkem</v>
      </c>
      <c r="E34" s="2708"/>
      <c r="F34" s="2710"/>
      <c r="G34" s="2710"/>
      <c r="H34" s="2710"/>
      <c r="I34" s="2710"/>
      <c r="J34" s="2710"/>
      <c r="K34" s="2710"/>
      <c r="L34" s="2710"/>
      <c r="M34" s="2710"/>
      <c r="N34" s="2710"/>
      <c r="O34" s="2710"/>
      <c r="P34" s="2710"/>
      <c r="Q34" s="2710"/>
      <c r="R34" s="2710"/>
      <c r="S34" s="2706"/>
      <c r="T34" s="978"/>
      <c r="U34" s="978"/>
      <c r="V34" s="978"/>
      <c r="W34" s="978"/>
      <c r="X34" s="978"/>
      <c r="Y34" s="978"/>
      <c r="Z34" s="978"/>
      <c r="AA34" s="978"/>
      <c r="AB34" s="978"/>
    </row>
    <row r="35" spans="2:28" ht="14.25" x14ac:dyDescent="0.3">
      <c r="B35" s="1075"/>
      <c r="C35" s="1007" t="str">
        <f>C19</f>
        <v>Vlastní zdroje</v>
      </c>
      <c r="D35" s="1090">
        <f>SUM(E35:S35,E50:S50)</f>
        <v>0</v>
      </c>
      <c r="E35" s="29"/>
      <c r="F35" s="29"/>
      <c r="G35" s="29"/>
      <c r="H35" s="29"/>
      <c r="I35" s="29"/>
      <c r="J35" s="29"/>
      <c r="K35" s="29"/>
      <c r="L35" s="29"/>
      <c r="M35" s="29"/>
      <c r="N35" s="29"/>
      <c r="O35" s="29"/>
      <c r="P35" s="29"/>
      <c r="Q35" s="29"/>
      <c r="R35" s="29"/>
      <c r="S35" s="29"/>
      <c r="T35" s="2147"/>
      <c r="U35" s="1024"/>
      <c r="V35" s="1024"/>
      <c r="W35" s="1024"/>
      <c r="X35" s="1024"/>
      <c r="Y35" s="1024"/>
      <c r="Z35" s="1024"/>
      <c r="AA35" s="1024"/>
      <c r="AB35" s="208"/>
    </row>
    <row r="36" spans="2:28" ht="14.25" x14ac:dyDescent="0.3">
      <c r="B36" s="1074"/>
      <c r="C36" s="59" t="str">
        <f t="shared" ref="C36:C46" si="15">C20</f>
        <v>Ostatní zdroje</v>
      </c>
      <c r="D36" s="1091">
        <f t="shared" ref="D36:D46" si="16">SUM(E36:S36,E51:S51)</f>
        <v>0</v>
      </c>
      <c r="E36" s="29"/>
      <c r="F36" s="29"/>
      <c r="G36" s="29"/>
      <c r="H36" s="29"/>
      <c r="I36" s="29"/>
      <c r="J36" s="29"/>
      <c r="K36" s="29"/>
      <c r="L36" s="29"/>
      <c r="M36" s="29"/>
      <c r="N36" s="29"/>
      <c r="O36" s="29"/>
      <c r="P36" s="29"/>
      <c r="Q36" s="29"/>
      <c r="R36" s="29"/>
      <c r="S36" s="29"/>
      <c r="T36" s="2147"/>
      <c r="U36" s="1024"/>
      <c r="V36" s="1024"/>
      <c r="W36" s="1024"/>
      <c r="X36" s="1024"/>
      <c r="Y36" s="1024"/>
      <c r="Z36" s="1024"/>
      <c r="AA36" s="1024"/>
      <c r="AB36" s="208"/>
    </row>
    <row r="37" spans="2:28" ht="14.25" x14ac:dyDescent="0.3">
      <c r="B37" s="1047"/>
      <c r="C37" s="1050" t="str">
        <f t="shared" si="15"/>
        <v>Celkové zdroje žadatele</v>
      </c>
      <c r="D37" s="2150">
        <f t="shared" si="16"/>
        <v>0</v>
      </c>
      <c r="E37" s="1093">
        <f>E36+E35</f>
        <v>0</v>
      </c>
      <c r="F37" s="1094">
        <f>F36+F35</f>
        <v>0</v>
      </c>
      <c r="G37" s="1094">
        <f>G36+G35</f>
        <v>0</v>
      </c>
      <c r="H37" s="1094">
        <f>H36+H35</f>
        <v>0</v>
      </c>
      <c r="I37" s="1094">
        <f t="shared" ref="I37:R37" si="17">I36+I35</f>
        <v>0</v>
      </c>
      <c r="J37" s="1094">
        <f t="shared" si="17"/>
        <v>0</v>
      </c>
      <c r="K37" s="1094">
        <f t="shared" si="17"/>
        <v>0</v>
      </c>
      <c r="L37" s="1094">
        <f t="shared" si="17"/>
        <v>0</v>
      </c>
      <c r="M37" s="1094">
        <f t="shared" si="17"/>
        <v>0</v>
      </c>
      <c r="N37" s="1094">
        <f t="shared" si="17"/>
        <v>0</v>
      </c>
      <c r="O37" s="1094">
        <f t="shared" si="17"/>
        <v>0</v>
      </c>
      <c r="P37" s="1094">
        <f t="shared" si="17"/>
        <v>0</v>
      </c>
      <c r="Q37" s="1094">
        <f t="shared" si="17"/>
        <v>0</v>
      </c>
      <c r="R37" s="1094">
        <f t="shared" si="17"/>
        <v>0</v>
      </c>
      <c r="S37" s="1085">
        <f>S36+S35</f>
        <v>0</v>
      </c>
      <c r="T37" s="2148"/>
      <c r="U37" s="220"/>
      <c r="V37" s="220"/>
      <c r="W37" s="220"/>
      <c r="X37" s="220"/>
      <c r="Y37" s="220"/>
      <c r="Z37" s="220"/>
      <c r="AA37" s="220"/>
      <c r="AB37" s="220"/>
    </row>
    <row r="38" spans="2:28" ht="14.25" x14ac:dyDescent="0.3">
      <c r="B38" s="1076"/>
      <c r="C38" s="1081" t="str">
        <f t="shared" si="15"/>
        <v>Úvěr (poskytnutý státní správou)</v>
      </c>
      <c r="D38" s="2151">
        <f t="shared" si="16"/>
        <v>0</v>
      </c>
      <c r="E38" s="29"/>
      <c r="F38" s="29"/>
      <c r="G38" s="29"/>
      <c r="H38" s="29"/>
      <c r="I38" s="29"/>
      <c r="J38" s="29"/>
      <c r="K38" s="29"/>
      <c r="L38" s="29"/>
      <c r="M38" s="29"/>
      <c r="N38" s="29"/>
      <c r="O38" s="29"/>
      <c r="P38" s="29"/>
      <c r="Q38" s="29"/>
      <c r="R38" s="29"/>
      <c r="S38" s="29"/>
      <c r="T38" s="2149"/>
      <c r="U38" s="208"/>
      <c r="V38" s="208"/>
      <c r="W38" s="208"/>
      <c r="X38" s="208"/>
      <c r="Y38" s="208"/>
      <c r="Z38" s="208"/>
      <c r="AA38" s="208"/>
      <c r="AB38" s="208"/>
    </row>
    <row r="39" spans="2:28" ht="14.25" x14ac:dyDescent="0.3">
      <c r="B39" s="1074"/>
      <c r="C39" s="59" t="str">
        <f t="shared" si="15"/>
        <v>Zdroje státního rozpočtu</v>
      </c>
      <c r="D39" s="379">
        <f t="shared" si="16"/>
        <v>0</v>
      </c>
      <c r="E39" s="29"/>
      <c r="F39" s="29"/>
      <c r="G39" s="29"/>
      <c r="H39" s="29"/>
      <c r="I39" s="29"/>
      <c r="J39" s="29"/>
      <c r="K39" s="29"/>
      <c r="L39" s="29"/>
      <c r="M39" s="29"/>
      <c r="N39" s="29"/>
      <c r="O39" s="29"/>
      <c r="P39" s="29"/>
      <c r="Q39" s="29"/>
      <c r="R39" s="29"/>
      <c r="S39" s="29"/>
      <c r="T39" s="2149"/>
      <c r="U39" s="208"/>
      <c r="V39" s="208"/>
      <c r="W39" s="208"/>
      <c r="X39" s="208"/>
      <c r="Y39" s="208"/>
      <c r="Z39" s="208"/>
      <c r="AA39" s="208"/>
      <c r="AB39" s="208"/>
    </row>
    <row r="40" spans="2:28" ht="14.25" x14ac:dyDescent="0.3">
      <c r="B40" s="1077"/>
      <c r="C40" s="1082" t="str">
        <f t="shared" si="15"/>
        <v>Národní zdroje</v>
      </c>
      <c r="D40" s="2152">
        <f t="shared" si="16"/>
        <v>0</v>
      </c>
      <c r="E40" s="1095">
        <f>E39+E38</f>
        <v>0</v>
      </c>
      <c r="F40" s="1096">
        <f>F39+F38</f>
        <v>0</v>
      </c>
      <c r="G40" s="1096">
        <f>G39+G38</f>
        <v>0</v>
      </c>
      <c r="H40" s="1096">
        <f>H39+H38</f>
        <v>0</v>
      </c>
      <c r="I40" s="1096">
        <f t="shared" ref="I40:R40" si="18">I39+I38</f>
        <v>0</v>
      </c>
      <c r="J40" s="1096">
        <f t="shared" si="18"/>
        <v>0</v>
      </c>
      <c r="K40" s="1096">
        <f t="shared" si="18"/>
        <v>0</v>
      </c>
      <c r="L40" s="1096">
        <f t="shared" si="18"/>
        <v>0</v>
      </c>
      <c r="M40" s="1096">
        <f t="shared" si="18"/>
        <v>0</v>
      </c>
      <c r="N40" s="1096">
        <f t="shared" si="18"/>
        <v>0</v>
      </c>
      <c r="O40" s="1096">
        <f t="shared" si="18"/>
        <v>0</v>
      </c>
      <c r="P40" s="1096">
        <f t="shared" si="18"/>
        <v>0</v>
      </c>
      <c r="Q40" s="1096">
        <f t="shared" si="18"/>
        <v>0</v>
      </c>
      <c r="R40" s="1096">
        <f t="shared" si="18"/>
        <v>0</v>
      </c>
      <c r="S40" s="1097">
        <f>S39+S38</f>
        <v>0</v>
      </c>
      <c r="T40" s="2148"/>
      <c r="U40" s="220"/>
      <c r="V40" s="220"/>
      <c r="W40" s="220"/>
      <c r="X40" s="220"/>
      <c r="Y40" s="220"/>
      <c r="Z40" s="220"/>
      <c r="AA40" s="220"/>
      <c r="AB40" s="220"/>
    </row>
    <row r="41" spans="2:28" ht="15" thickBot="1" x14ac:dyDescent="0.35">
      <c r="B41" s="1074"/>
      <c r="C41" s="74" t="str">
        <f t="shared" si="15"/>
        <v>Granty EU</v>
      </c>
      <c r="D41" s="379">
        <f t="shared" si="16"/>
        <v>0</v>
      </c>
      <c r="E41" s="29"/>
      <c r="F41" s="29"/>
      <c r="G41" s="29"/>
      <c r="H41" s="29"/>
      <c r="I41" s="29"/>
      <c r="J41" s="29"/>
      <c r="K41" s="29"/>
      <c r="L41" s="29"/>
      <c r="M41" s="29"/>
      <c r="N41" s="29"/>
      <c r="O41" s="29"/>
      <c r="P41" s="29"/>
      <c r="Q41" s="29"/>
      <c r="R41" s="29"/>
      <c r="S41" s="29"/>
      <c r="T41" s="2149"/>
      <c r="U41" s="208"/>
      <c r="V41" s="208"/>
      <c r="W41" s="208"/>
      <c r="X41" s="208"/>
      <c r="Y41" s="208"/>
      <c r="Z41" s="208"/>
      <c r="AA41" s="208"/>
      <c r="AB41" s="208"/>
    </row>
    <row r="42" spans="2:28" ht="14.25" x14ac:dyDescent="0.3">
      <c r="B42" s="1025"/>
      <c r="C42" s="1032" t="str">
        <f t="shared" si="15"/>
        <v xml:space="preserve">Celkové finanční zdroje (bez rezervy) </v>
      </c>
      <c r="D42" s="427">
        <f t="shared" si="16"/>
        <v>0</v>
      </c>
      <c r="E42" s="2156">
        <f>E37+E40+E41</f>
        <v>0</v>
      </c>
      <c r="F42" s="2157">
        <f>F37+F40+F41</f>
        <v>0</v>
      </c>
      <c r="G42" s="2157">
        <f>G37+G40+G41</f>
        <v>0</v>
      </c>
      <c r="H42" s="2157">
        <f>H37+H40+H41</f>
        <v>0</v>
      </c>
      <c r="I42" s="2157">
        <f t="shared" ref="I42:R42" si="19">I37+I40+I41</f>
        <v>0</v>
      </c>
      <c r="J42" s="2157">
        <f t="shared" si="19"/>
        <v>0</v>
      </c>
      <c r="K42" s="2157">
        <f t="shared" si="19"/>
        <v>0</v>
      </c>
      <c r="L42" s="2157">
        <f t="shared" si="19"/>
        <v>0</v>
      </c>
      <c r="M42" s="2157">
        <f t="shared" si="19"/>
        <v>0</v>
      </c>
      <c r="N42" s="2157">
        <f t="shared" si="19"/>
        <v>0</v>
      </c>
      <c r="O42" s="2157">
        <f t="shared" si="19"/>
        <v>0</v>
      </c>
      <c r="P42" s="2157">
        <f t="shared" si="19"/>
        <v>0</v>
      </c>
      <c r="Q42" s="2157">
        <f t="shared" si="19"/>
        <v>0</v>
      </c>
      <c r="R42" s="2157">
        <f t="shared" si="19"/>
        <v>0</v>
      </c>
      <c r="S42" s="1087">
        <f>S37+S40+S41</f>
        <v>0</v>
      </c>
      <c r="T42" s="2148"/>
      <c r="U42" s="220"/>
      <c r="V42" s="220"/>
      <c r="W42" s="220"/>
      <c r="X42" s="220"/>
      <c r="Y42" s="220"/>
      <c r="Z42" s="220"/>
      <c r="AA42" s="220"/>
      <c r="AB42" s="220"/>
    </row>
    <row r="43" spans="2:28" ht="14.25" x14ac:dyDescent="0.3">
      <c r="B43" s="1079"/>
      <c r="C43" s="74" t="str">
        <f t="shared" si="15"/>
        <v>Rezerva - vlastní zdroje</v>
      </c>
      <c r="D43" s="379">
        <f t="shared" si="16"/>
        <v>0</v>
      </c>
      <c r="E43" s="1098"/>
      <c r="F43" s="1098"/>
      <c r="G43" s="1098"/>
      <c r="H43" s="1098"/>
      <c r="I43" s="1098"/>
      <c r="J43" s="1098"/>
      <c r="K43" s="1098"/>
      <c r="L43" s="1098"/>
      <c r="M43" s="1098"/>
      <c r="N43" s="1098"/>
      <c r="O43" s="1098"/>
      <c r="P43" s="1098"/>
      <c r="Q43" s="1098"/>
      <c r="R43" s="1098"/>
      <c r="S43" s="1098"/>
      <c r="T43" s="2148"/>
      <c r="U43" s="220"/>
      <c r="V43" s="220"/>
      <c r="W43" s="220"/>
      <c r="X43" s="220"/>
      <c r="Y43" s="220"/>
      <c r="Z43" s="220"/>
      <c r="AA43" s="220"/>
      <c r="AB43" s="220"/>
    </row>
    <row r="44" spans="2:28" ht="14.25" x14ac:dyDescent="0.3">
      <c r="B44" s="1079"/>
      <c r="C44" s="74" t="str">
        <f t="shared" si="15"/>
        <v>Rezerva - EU granty</v>
      </c>
      <c r="D44" s="2153">
        <f t="shared" si="16"/>
        <v>0</v>
      </c>
      <c r="E44" s="1098"/>
      <c r="F44" s="1098"/>
      <c r="G44" s="1098"/>
      <c r="H44" s="1098"/>
      <c r="I44" s="1098"/>
      <c r="J44" s="1098"/>
      <c r="K44" s="1098"/>
      <c r="L44" s="1098"/>
      <c r="M44" s="1098"/>
      <c r="N44" s="1098"/>
      <c r="O44" s="1098"/>
      <c r="P44" s="1098"/>
      <c r="Q44" s="1098"/>
      <c r="R44" s="1098"/>
      <c r="S44" s="1098"/>
      <c r="T44" s="2148"/>
      <c r="U44" s="220"/>
      <c r="V44" s="220"/>
      <c r="W44" s="220"/>
      <c r="X44" s="220"/>
      <c r="Y44" s="220"/>
      <c r="Z44" s="220"/>
      <c r="AA44" s="220"/>
      <c r="AB44" s="220"/>
    </row>
    <row r="45" spans="2:28" ht="14.25" x14ac:dyDescent="0.3">
      <c r="B45" s="1077"/>
      <c r="C45" s="1083" t="str">
        <f t="shared" si="15"/>
        <v>Rezerva celkem</v>
      </c>
      <c r="D45" s="1092">
        <f t="shared" si="16"/>
        <v>0</v>
      </c>
      <c r="E45" s="1095">
        <f>E43+E44</f>
        <v>0</v>
      </c>
      <c r="F45" s="1096">
        <f>F43+F44</f>
        <v>0</v>
      </c>
      <c r="G45" s="1096">
        <f>G43+G44</f>
        <v>0</v>
      </c>
      <c r="H45" s="1096">
        <f>H43+H44</f>
        <v>0</v>
      </c>
      <c r="I45" s="1096">
        <f t="shared" ref="I45:R45" si="20">I43+I44</f>
        <v>0</v>
      </c>
      <c r="J45" s="1096">
        <f t="shared" si="20"/>
        <v>0</v>
      </c>
      <c r="K45" s="1096">
        <f t="shared" si="20"/>
        <v>0</v>
      </c>
      <c r="L45" s="1096">
        <f t="shared" si="20"/>
        <v>0</v>
      </c>
      <c r="M45" s="1096">
        <f t="shared" si="20"/>
        <v>0</v>
      </c>
      <c r="N45" s="1096">
        <f t="shared" si="20"/>
        <v>0</v>
      </c>
      <c r="O45" s="1096">
        <f t="shared" si="20"/>
        <v>0</v>
      </c>
      <c r="P45" s="1096">
        <f t="shared" si="20"/>
        <v>0</v>
      </c>
      <c r="Q45" s="1096">
        <f t="shared" si="20"/>
        <v>0</v>
      </c>
      <c r="R45" s="1096">
        <f t="shared" si="20"/>
        <v>0</v>
      </c>
      <c r="S45" s="1097">
        <f>S43+S44</f>
        <v>0</v>
      </c>
      <c r="T45" s="2148"/>
      <c r="U45" s="220"/>
      <c r="V45" s="220"/>
      <c r="W45" s="220"/>
      <c r="X45" s="220"/>
      <c r="Y45" s="220"/>
      <c r="Z45" s="220"/>
      <c r="AA45" s="220"/>
      <c r="AB45" s="220"/>
    </row>
    <row r="46" spans="2:28" ht="15" thickBot="1" x14ac:dyDescent="0.35">
      <c r="B46" s="1027"/>
      <c r="C46" s="1033" t="str">
        <f t="shared" si="15"/>
        <v>Celkové finanční zdroje</v>
      </c>
      <c r="D46" s="1029">
        <f t="shared" si="16"/>
        <v>0</v>
      </c>
      <c r="E46" s="1099">
        <f>E42+E45</f>
        <v>0</v>
      </c>
      <c r="F46" s="1100">
        <f>F42+F45</f>
        <v>0</v>
      </c>
      <c r="G46" s="1100">
        <f>G42+G45</f>
        <v>0</v>
      </c>
      <c r="H46" s="1100">
        <f>H42+H45</f>
        <v>0</v>
      </c>
      <c r="I46" s="1100">
        <f t="shared" ref="I46:R46" si="21">I42+I45</f>
        <v>0</v>
      </c>
      <c r="J46" s="1100">
        <f t="shared" si="21"/>
        <v>0</v>
      </c>
      <c r="K46" s="1100">
        <f t="shared" si="21"/>
        <v>0</v>
      </c>
      <c r="L46" s="1100">
        <f t="shared" si="21"/>
        <v>0</v>
      </c>
      <c r="M46" s="1100">
        <f t="shared" si="21"/>
        <v>0</v>
      </c>
      <c r="N46" s="1100">
        <f t="shared" si="21"/>
        <v>0</v>
      </c>
      <c r="O46" s="1100">
        <f t="shared" si="21"/>
        <v>0</v>
      </c>
      <c r="P46" s="1100">
        <f t="shared" si="21"/>
        <v>0</v>
      </c>
      <c r="Q46" s="1100">
        <f t="shared" si="21"/>
        <v>0</v>
      </c>
      <c r="R46" s="1100">
        <f t="shared" si="21"/>
        <v>0</v>
      </c>
      <c r="S46" s="250">
        <f>S42+S45</f>
        <v>0</v>
      </c>
      <c r="T46" s="208"/>
      <c r="U46" s="208"/>
      <c r="V46" s="208"/>
      <c r="W46" s="208"/>
      <c r="X46" s="208"/>
      <c r="Y46" s="208"/>
      <c r="Z46" s="208"/>
      <c r="AA46" s="208"/>
      <c r="AB46" s="208"/>
    </row>
    <row r="47" spans="2:28" ht="14.25" thickBot="1" x14ac:dyDescent="0.3">
      <c r="T47" s="1036"/>
      <c r="U47" s="1036"/>
      <c r="V47" s="1036"/>
      <c r="W47" s="1036"/>
      <c r="X47" s="1036"/>
      <c r="Y47" s="1036"/>
      <c r="Z47" s="1036"/>
      <c r="AA47" s="1036"/>
      <c r="AB47" s="1036"/>
    </row>
    <row r="48" spans="2:28" ht="14.25" x14ac:dyDescent="0.3">
      <c r="B48" s="1067" t="s">
        <v>176</v>
      </c>
      <c r="C48" s="1068" t="str">
        <f>C33</f>
        <v>Zdroje financování projektu (CZK)</v>
      </c>
      <c r="D48" s="1069"/>
      <c r="E48" s="2707">
        <f>E17</f>
        <v>2036</v>
      </c>
      <c r="F48" s="2709">
        <f>E48+1</f>
        <v>2037</v>
      </c>
      <c r="G48" s="2709">
        <f>F48+1</f>
        <v>2038</v>
      </c>
      <c r="H48" s="2709">
        <f>G48+1</f>
        <v>2039</v>
      </c>
      <c r="I48" s="2709">
        <f t="shared" ref="I48:S48" si="22">H48+1</f>
        <v>2040</v>
      </c>
      <c r="J48" s="2709">
        <f t="shared" si="22"/>
        <v>2041</v>
      </c>
      <c r="K48" s="2709">
        <f t="shared" si="22"/>
        <v>2042</v>
      </c>
      <c r="L48" s="2709">
        <f t="shared" si="22"/>
        <v>2043</v>
      </c>
      <c r="M48" s="2709">
        <f t="shared" si="22"/>
        <v>2044</v>
      </c>
      <c r="N48" s="2709">
        <f t="shared" si="22"/>
        <v>2045</v>
      </c>
      <c r="O48" s="2709">
        <f t="shared" si="22"/>
        <v>2046</v>
      </c>
      <c r="P48" s="2709">
        <f t="shared" si="22"/>
        <v>2047</v>
      </c>
      <c r="Q48" s="2709">
        <f t="shared" si="22"/>
        <v>2048</v>
      </c>
      <c r="R48" s="2709">
        <f t="shared" si="22"/>
        <v>2049</v>
      </c>
      <c r="S48" s="2705">
        <f t="shared" si="22"/>
        <v>2050</v>
      </c>
      <c r="T48" s="978"/>
      <c r="U48" s="978"/>
      <c r="V48" s="978"/>
      <c r="W48" s="978"/>
      <c r="X48" s="978"/>
      <c r="Y48" s="978"/>
      <c r="Z48" s="978"/>
      <c r="AA48" s="978"/>
      <c r="AB48" s="978"/>
    </row>
    <row r="49" spans="2:28" ht="14.25" thickBot="1" x14ac:dyDescent="0.3">
      <c r="B49" s="1070" t="s">
        <v>24</v>
      </c>
      <c r="C49" s="1071" t="str">
        <f t="shared" ref="C49:C61" si="23">C34</f>
        <v>Běžné ceny</v>
      </c>
      <c r="D49" s="1073"/>
      <c r="E49" s="2708"/>
      <c r="F49" s="2710"/>
      <c r="G49" s="2710"/>
      <c r="H49" s="2710"/>
      <c r="I49" s="2710"/>
      <c r="J49" s="2710"/>
      <c r="K49" s="2710"/>
      <c r="L49" s="2710"/>
      <c r="M49" s="2710"/>
      <c r="N49" s="2710"/>
      <c r="O49" s="2710"/>
      <c r="P49" s="2710"/>
      <c r="Q49" s="2710"/>
      <c r="R49" s="2710"/>
      <c r="S49" s="2706"/>
      <c r="T49" s="978"/>
      <c r="U49" s="978"/>
      <c r="V49" s="978"/>
      <c r="W49" s="978"/>
      <c r="X49" s="978"/>
      <c r="Y49" s="978"/>
      <c r="Z49" s="978"/>
      <c r="AA49" s="978"/>
      <c r="AB49" s="978"/>
    </row>
    <row r="50" spans="2:28" ht="14.25" x14ac:dyDescent="0.3">
      <c r="B50" s="1074"/>
      <c r="C50" s="1007" t="str">
        <f t="shared" si="23"/>
        <v>Vlastní zdroje</v>
      </c>
      <c r="D50" s="1084"/>
      <c r="E50" s="29"/>
      <c r="F50" s="29"/>
      <c r="G50" s="29"/>
      <c r="H50" s="29"/>
      <c r="I50" s="29"/>
      <c r="J50" s="29"/>
      <c r="K50" s="29"/>
      <c r="L50" s="29"/>
      <c r="M50" s="29"/>
      <c r="N50" s="29"/>
      <c r="O50" s="29"/>
      <c r="P50" s="29"/>
      <c r="Q50" s="29"/>
      <c r="R50" s="29"/>
      <c r="S50" s="29"/>
      <c r="T50" s="2147"/>
      <c r="U50" s="1024"/>
      <c r="V50" s="1024"/>
      <c r="W50" s="1024"/>
      <c r="X50" s="1024"/>
      <c r="Y50" s="1024"/>
      <c r="Z50" s="1024"/>
      <c r="AA50" s="1024"/>
      <c r="AB50" s="208"/>
    </row>
    <row r="51" spans="2:28" ht="14.25" x14ac:dyDescent="0.3">
      <c r="B51" s="1074"/>
      <c r="C51" s="59" t="str">
        <f t="shared" si="23"/>
        <v>Ostatní zdroje</v>
      </c>
      <c r="D51" s="255"/>
      <c r="E51" s="29"/>
      <c r="F51" s="29"/>
      <c r="G51" s="29"/>
      <c r="H51" s="29"/>
      <c r="I51" s="29"/>
      <c r="J51" s="29"/>
      <c r="K51" s="29"/>
      <c r="L51" s="29"/>
      <c r="M51" s="29"/>
      <c r="N51" s="29"/>
      <c r="O51" s="29"/>
      <c r="P51" s="29"/>
      <c r="Q51" s="29"/>
      <c r="R51" s="29"/>
      <c r="S51" s="29"/>
      <c r="T51" s="2147"/>
      <c r="U51" s="1024"/>
      <c r="V51" s="1024"/>
      <c r="W51" s="1024"/>
      <c r="X51" s="1024"/>
      <c r="Y51" s="1024"/>
      <c r="Z51" s="1024"/>
      <c r="AA51" s="1024"/>
      <c r="AB51" s="208"/>
    </row>
    <row r="52" spans="2:28" ht="14.25" x14ac:dyDescent="0.3">
      <c r="B52" s="1047"/>
      <c r="C52" s="1050" t="str">
        <f t="shared" si="23"/>
        <v>Celkové zdroje žadatele</v>
      </c>
      <c r="D52" s="1085"/>
      <c r="E52" s="1093">
        <f>E51+E50</f>
        <v>0</v>
      </c>
      <c r="F52" s="1094">
        <f>F51+F50</f>
        <v>0</v>
      </c>
      <c r="G52" s="1094">
        <f>G51+G50</f>
        <v>0</v>
      </c>
      <c r="H52" s="1094">
        <f>H51+H50</f>
        <v>0</v>
      </c>
      <c r="I52" s="1094">
        <f t="shared" ref="I52:R52" si="24">I51+I50</f>
        <v>0</v>
      </c>
      <c r="J52" s="1094">
        <f t="shared" si="24"/>
        <v>0</v>
      </c>
      <c r="K52" s="1094">
        <f t="shared" si="24"/>
        <v>0</v>
      </c>
      <c r="L52" s="1094">
        <f t="shared" si="24"/>
        <v>0</v>
      </c>
      <c r="M52" s="1094">
        <f t="shared" si="24"/>
        <v>0</v>
      </c>
      <c r="N52" s="1094">
        <f t="shared" si="24"/>
        <v>0</v>
      </c>
      <c r="O52" s="1094">
        <f t="shared" si="24"/>
        <v>0</v>
      </c>
      <c r="P52" s="1094">
        <f t="shared" si="24"/>
        <v>0</v>
      </c>
      <c r="Q52" s="1094">
        <f t="shared" si="24"/>
        <v>0</v>
      </c>
      <c r="R52" s="1094">
        <f t="shared" si="24"/>
        <v>0</v>
      </c>
      <c r="S52" s="1085">
        <f>S51+S50</f>
        <v>0</v>
      </c>
      <c r="T52" s="2148"/>
      <c r="U52" s="220"/>
      <c r="V52" s="220"/>
      <c r="W52" s="220"/>
      <c r="X52" s="220"/>
      <c r="Y52" s="220"/>
      <c r="Z52" s="220"/>
      <c r="AA52" s="220"/>
      <c r="AB52" s="220"/>
    </row>
    <row r="53" spans="2:28" ht="14.25" x14ac:dyDescent="0.3">
      <c r="B53" s="1076"/>
      <c r="C53" s="1081" t="str">
        <f t="shared" si="23"/>
        <v>Úvěr (poskytnutý státní správou)</v>
      </c>
      <c r="D53" s="2154"/>
      <c r="E53" s="29"/>
      <c r="F53" s="29"/>
      <c r="G53" s="29"/>
      <c r="H53" s="29"/>
      <c r="I53" s="29"/>
      <c r="J53" s="29"/>
      <c r="K53" s="29"/>
      <c r="L53" s="29"/>
      <c r="M53" s="29"/>
      <c r="N53" s="29"/>
      <c r="O53" s="29"/>
      <c r="P53" s="29"/>
      <c r="Q53" s="29"/>
      <c r="R53" s="29"/>
      <c r="S53" s="29"/>
      <c r="T53" s="2149"/>
      <c r="U53" s="208"/>
      <c r="V53" s="208"/>
      <c r="W53" s="208"/>
      <c r="X53" s="208"/>
      <c r="Y53" s="208"/>
      <c r="Z53" s="208"/>
      <c r="AA53" s="208"/>
      <c r="AB53" s="208"/>
    </row>
    <row r="54" spans="2:28" ht="14.25" x14ac:dyDescent="0.3">
      <c r="B54" s="1074"/>
      <c r="C54" s="59" t="str">
        <f t="shared" si="23"/>
        <v>Zdroje státního rozpočtu</v>
      </c>
      <c r="D54" s="1018"/>
      <c r="E54" s="29"/>
      <c r="F54" s="29"/>
      <c r="G54" s="29"/>
      <c r="H54" s="29"/>
      <c r="I54" s="29"/>
      <c r="J54" s="29"/>
      <c r="K54" s="29"/>
      <c r="L54" s="29"/>
      <c r="M54" s="29"/>
      <c r="N54" s="29"/>
      <c r="O54" s="29"/>
      <c r="P54" s="29"/>
      <c r="Q54" s="29"/>
      <c r="R54" s="29"/>
      <c r="S54" s="29"/>
      <c r="T54" s="2149"/>
      <c r="U54" s="208"/>
      <c r="V54" s="208"/>
      <c r="W54" s="208"/>
      <c r="X54" s="208"/>
      <c r="Y54" s="208"/>
      <c r="Z54" s="208"/>
      <c r="AA54" s="208"/>
      <c r="AB54" s="208"/>
    </row>
    <row r="55" spans="2:28" ht="14.25" x14ac:dyDescent="0.3">
      <c r="B55" s="1077"/>
      <c r="C55" s="1082" t="str">
        <f t="shared" si="23"/>
        <v>Národní zdroje</v>
      </c>
      <c r="D55" s="1086"/>
      <c r="E55" s="1095">
        <f>E54+E53</f>
        <v>0</v>
      </c>
      <c r="F55" s="1096">
        <f>F54+F53</f>
        <v>0</v>
      </c>
      <c r="G55" s="1096">
        <f>G54+G53</f>
        <v>0</v>
      </c>
      <c r="H55" s="1096">
        <f>H54+H53</f>
        <v>0</v>
      </c>
      <c r="I55" s="1096">
        <f t="shared" ref="I55:R55" si="25">I54+I53</f>
        <v>0</v>
      </c>
      <c r="J55" s="1096">
        <f t="shared" si="25"/>
        <v>0</v>
      </c>
      <c r="K55" s="1096">
        <f t="shared" si="25"/>
        <v>0</v>
      </c>
      <c r="L55" s="1096">
        <f t="shared" si="25"/>
        <v>0</v>
      </c>
      <c r="M55" s="1096">
        <f t="shared" si="25"/>
        <v>0</v>
      </c>
      <c r="N55" s="1096">
        <f t="shared" si="25"/>
        <v>0</v>
      </c>
      <c r="O55" s="1096">
        <f t="shared" si="25"/>
        <v>0</v>
      </c>
      <c r="P55" s="1096">
        <f t="shared" si="25"/>
        <v>0</v>
      </c>
      <c r="Q55" s="1096">
        <f t="shared" si="25"/>
        <v>0</v>
      </c>
      <c r="R55" s="1096">
        <f t="shared" si="25"/>
        <v>0</v>
      </c>
      <c r="S55" s="1097">
        <f>S54+S53</f>
        <v>0</v>
      </c>
      <c r="T55" s="2148"/>
      <c r="U55" s="220"/>
      <c r="V55" s="220"/>
      <c r="W55" s="220"/>
      <c r="X55" s="220"/>
      <c r="Y55" s="220"/>
      <c r="Z55" s="220"/>
      <c r="AA55" s="220"/>
      <c r="AB55" s="220"/>
    </row>
    <row r="56" spans="2:28" ht="15" thickBot="1" x14ac:dyDescent="0.35">
      <c r="B56" s="1074"/>
      <c r="C56" s="74" t="str">
        <f t="shared" si="23"/>
        <v>Granty EU</v>
      </c>
      <c r="D56" s="1018"/>
      <c r="E56" s="29"/>
      <c r="F56" s="29"/>
      <c r="G56" s="29"/>
      <c r="H56" s="29"/>
      <c r="I56" s="29"/>
      <c r="J56" s="29"/>
      <c r="K56" s="29"/>
      <c r="L56" s="29"/>
      <c r="M56" s="29"/>
      <c r="N56" s="29"/>
      <c r="O56" s="29"/>
      <c r="P56" s="29"/>
      <c r="Q56" s="29"/>
      <c r="R56" s="29"/>
      <c r="S56" s="29"/>
      <c r="T56" s="2149"/>
      <c r="U56" s="208"/>
      <c r="V56" s="208"/>
      <c r="W56" s="208"/>
      <c r="X56" s="208"/>
      <c r="Y56" s="208"/>
      <c r="Z56" s="208"/>
      <c r="AA56" s="208"/>
      <c r="AB56" s="208"/>
    </row>
    <row r="57" spans="2:28" ht="14.25" x14ac:dyDescent="0.3">
      <c r="B57" s="1025"/>
      <c r="C57" s="1032" t="str">
        <f t="shared" si="23"/>
        <v xml:space="preserve">Celkové finanční zdroje (bez rezervy) </v>
      </c>
      <c r="D57" s="1087"/>
      <c r="E57" s="2156">
        <f>E52+E55+E56</f>
        <v>0</v>
      </c>
      <c r="F57" s="2157">
        <f>F52+F55+F56</f>
        <v>0</v>
      </c>
      <c r="G57" s="2157">
        <f>G52+G55+G56</f>
        <v>0</v>
      </c>
      <c r="H57" s="2157">
        <f>H52+H55+H56</f>
        <v>0</v>
      </c>
      <c r="I57" s="2157">
        <f t="shared" ref="I57:R57" si="26">I52+I55+I56</f>
        <v>0</v>
      </c>
      <c r="J57" s="2157">
        <f t="shared" si="26"/>
        <v>0</v>
      </c>
      <c r="K57" s="2157">
        <f t="shared" si="26"/>
        <v>0</v>
      </c>
      <c r="L57" s="2157">
        <f t="shared" si="26"/>
        <v>0</v>
      </c>
      <c r="M57" s="2157">
        <f t="shared" si="26"/>
        <v>0</v>
      </c>
      <c r="N57" s="2157">
        <f t="shared" si="26"/>
        <v>0</v>
      </c>
      <c r="O57" s="2157">
        <f t="shared" si="26"/>
        <v>0</v>
      </c>
      <c r="P57" s="2157">
        <f t="shared" si="26"/>
        <v>0</v>
      </c>
      <c r="Q57" s="2157">
        <f t="shared" si="26"/>
        <v>0</v>
      </c>
      <c r="R57" s="2157">
        <f t="shared" si="26"/>
        <v>0</v>
      </c>
      <c r="S57" s="1087">
        <f>S52+S55+S56</f>
        <v>0</v>
      </c>
      <c r="T57" s="2148"/>
      <c r="U57" s="220"/>
      <c r="V57" s="220"/>
      <c r="W57" s="220"/>
      <c r="X57" s="220"/>
      <c r="Y57" s="220"/>
      <c r="Z57" s="220"/>
      <c r="AA57" s="220"/>
      <c r="AB57" s="220"/>
    </row>
    <row r="58" spans="2:28" ht="14.25" x14ac:dyDescent="0.3">
      <c r="B58" s="1079"/>
      <c r="C58" s="74" t="str">
        <f t="shared" si="23"/>
        <v>Rezerva - vlastní zdroje</v>
      </c>
      <c r="D58" s="1018"/>
      <c r="E58" s="1098"/>
      <c r="F58" s="1098"/>
      <c r="G58" s="1098"/>
      <c r="H58" s="1098"/>
      <c r="I58" s="1098"/>
      <c r="J58" s="1098"/>
      <c r="K58" s="1098"/>
      <c r="L58" s="1098"/>
      <c r="M58" s="1098"/>
      <c r="N58" s="1098"/>
      <c r="O58" s="1098"/>
      <c r="P58" s="1098"/>
      <c r="Q58" s="1098"/>
      <c r="R58" s="1098"/>
      <c r="S58" s="1098"/>
      <c r="T58" s="2148"/>
      <c r="U58" s="220"/>
      <c r="V58" s="220"/>
      <c r="W58" s="220"/>
      <c r="X58" s="220"/>
      <c r="Y58" s="220"/>
      <c r="Z58" s="220"/>
      <c r="AA58" s="220"/>
      <c r="AB58" s="220"/>
    </row>
    <row r="59" spans="2:28" ht="14.25" x14ac:dyDescent="0.3">
      <c r="B59" s="1079"/>
      <c r="C59" s="74" t="str">
        <f t="shared" si="23"/>
        <v>Rezerva - EU granty</v>
      </c>
      <c r="D59" s="2155"/>
      <c r="E59" s="1098"/>
      <c r="F59" s="1098"/>
      <c r="G59" s="1098"/>
      <c r="H59" s="1098"/>
      <c r="I59" s="1098"/>
      <c r="J59" s="1098"/>
      <c r="K59" s="1098"/>
      <c r="L59" s="1098"/>
      <c r="M59" s="1098"/>
      <c r="N59" s="1098"/>
      <c r="O59" s="1098"/>
      <c r="P59" s="1098"/>
      <c r="Q59" s="1098"/>
      <c r="R59" s="1098"/>
      <c r="S59" s="1098"/>
      <c r="T59" s="2148"/>
      <c r="U59" s="220"/>
      <c r="V59" s="220"/>
      <c r="W59" s="220"/>
      <c r="X59" s="220"/>
      <c r="Y59" s="220"/>
      <c r="Z59" s="220"/>
      <c r="AA59" s="220"/>
      <c r="AB59" s="220"/>
    </row>
    <row r="60" spans="2:28" ht="14.25" x14ac:dyDescent="0.3">
      <c r="B60" s="1077"/>
      <c r="C60" s="1083" t="str">
        <f t="shared" si="23"/>
        <v>Rezerva celkem</v>
      </c>
      <c r="D60" s="1086"/>
      <c r="E60" s="1095">
        <f>E58+E59</f>
        <v>0</v>
      </c>
      <c r="F60" s="1096">
        <f>F58+F59</f>
        <v>0</v>
      </c>
      <c r="G60" s="1096">
        <f>G58+G59</f>
        <v>0</v>
      </c>
      <c r="H60" s="1096">
        <f>H58+H59</f>
        <v>0</v>
      </c>
      <c r="I60" s="1096">
        <f t="shared" ref="I60:R60" si="27">I58+I59</f>
        <v>0</v>
      </c>
      <c r="J60" s="1096">
        <f t="shared" si="27"/>
        <v>0</v>
      </c>
      <c r="K60" s="1096">
        <f t="shared" si="27"/>
        <v>0</v>
      </c>
      <c r="L60" s="1096">
        <f t="shared" si="27"/>
        <v>0</v>
      </c>
      <c r="M60" s="1096">
        <f t="shared" si="27"/>
        <v>0</v>
      </c>
      <c r="N60" s="1096">
        <f t="shared" si="27"/>
        <v>0</v>
      </c>
      <c r="O60" s="1096">
        <f t="shared" si="27"/>
        <v>0</v>
      </c>
      <c r="P60" s="1096">
        <f t="shared" si="27"/>
        <v>0</v>
      </c>
      <c r="Q60" s="1096">
        <f t="shared" si="27"/>
        <v>0</v>
      </c>
      <c r="R60" s="1096">
        <f t="shared" si="27"/>
        <v>0</v>
      </c>
      <c r="S60" s="1097">
        <f>S58+S59</f>
        <v>0</v>
      </c>
      <c r="T60" s="2148"/>
      <c r="U60" s="220"/>
      <c r="V60" s="220"/>
      <c r="W60" s="220"/>
      <c r="X60" s="220"/>
      <c r="Y60" s="220"/>
      <c r="Z60" s="220"/>
      <c r="AA60" s="220"/>
      <c r="AB60" s="220"/>
    </row>
    <row r="61" spans="2:28" ht="15" thickBot="1" x14ac:dyDescent="0.35">
      <c r="B61" s="1027"/>
      <c r="C61" s="1033" t="str">
        <f t="shared" si="23"/>
        <v>Celkové finanční zdroje</v>
      </c>
      <c r="D61" s="1088"/>
      <c r="E61" s="1099">
        <f>E57+E60</f>
        <v>0</v>
      </c>
      <c r="F61" s="1100">
        <f>F57+F60</f>
        <v>0</v>
      </c>
      <c r="G61" s="1100">
        <f>G57+G60</f>
        <v>0</v>
      </c>
      <c r="H61" s="1100">
        <f>H57+H60</f>
        <v>0</v>
      </c>
      <c r="I61" s="1100">
        <f t="shared" ref="I61:R61" si="28">I57+I60</f>
        <v>0</v>
      </c>
      <c r="J61" s="1100">
        <f t="shared" si="28"/>
        <v>0</v>
      </c>
      <c r="K61" s="1100">
        <f t="shared" si="28"/>
        <v>0</v>
      </c>
      <c r="L61" s="1100">
        <f t="shared" si="28"/>
        <v>0</v>
      </c>
      <c r="M61" s="1100">
        <f t="shared" si="28"/>
        <v>0</v>
      </c>
      <c r="N61" s="1100">
        <f t="shared" si="28"/>
        <v>0</v>
      </c>
      <c r="O61" s="1100">
        <f t="shared" si="28"/>
        <v>0</v>
      </c>
      <c r="P61" s="1100">
        <f t="shared" si="28"/>
        <v>0</v>
      </c>
      <c r="Q61" s="1100">
        <f t="shared" si="28"/>
        <v>0</v>
      </c>
      <c r="R61" s="1100">
        <f t="shared" si="28"/>
        <v>0</v>
      </c>
      <c r="S61" s="2146">
        <f>S57+S60</f>
        <v>0</v>
      </c>
      <c r="T61" s="2149"/>
      <c r="U61" s="208"/>
      <c r="V61" s="208"/>
      <c r="W61" s="208"/>
      <c r="X61" s="208"/>
      <c r="Y61" s="208"/>
      <c r="Z61" s="208"/>
      <c r="AA61" s="208"/>
      <c r="AB61" s="208"/>
    </row>
    <row r="62" spans="2:28" ht="14.25" thickBot="1" x14ac:dyDescent="0.3"/>
    <row r="63" spans="2:28" x14ac:dyDescent="0.25">
      <c r="B63" s="2286" t="str">
        <f>IF('0 Úvod'!$M$10="English",Slovnik!$D$668,Slovnik!$C$668)</f>
        <v>Komentáře</v>
      </c>
      <c r="C63" s="2287"/>
      <c r="D63" s="2287"/>
      <c r="E63" s="2287"/>
      <c r="F63" s="2287"/>
      <c r="G63" s="2287"/>
      <c r="H63" s="2287"/>
      <c r="I63" s="2287"/>
      <c r="J63" s="2287"/>
      <c r="K63" s="2287"/>
      <c r="L63" s="2287"/>
      <c r="M63" s="2287"/>
      <c r="N63" s="2287"/>
      <c r="O63" s="2287"/>
      <c r="P63" s="2287"/>
      <c r="Q63" s="2287"/>
      <c r="R63" s="2287"/>
      <c r="S63" s="2655"/>
    </row>
    <row r="64" spans="2:28" ht="14.25" thickBot="1" x14ac:dyDescent="0.3">
      <c r="B64" s="2656"/>
      <c r="C64" s="2657"/>
      <c r="D64" s="2657"/>
      <c r="E64" s="2657"/>
      <c r="F64" s="2657"/>
      <c r="G64" s="2657"/>
      <c r="H64" s="2657"/>
      <c r="I64" s="2657"/>
      <c r="J64" s="2657"/>
      <c r="K64" s="2657"/>
      <c r="L64" s="2657"/>
      <c r="M64" s="2657"/>
      <c r="N64" s="2657"/>
      <c r="O64" s="2657"/>
      <c r="P64" s="2657"/>
      <c r="Q64" s="2657"/>
      <c r="R64" s="2657"/>
      <c r="S64" s="2658"/>
    </row>
    <row r="65" spans="2:19" ht="15" thickBot="1" x14ac:dyDescent="0.35">
      <c r="B65" s="1824" t="str">
        <f>IF('0 Úvod'!$M$10="English",Slovnik!$D$669,Slovnik!$C$669)</f>
        <v>* kontrola souladu celk. finančních zdrojů s celk. investičními náklady</v>
      </c>
      <c r="C65" s="94"/>
      <c r="D65" s="94"/>
      <c r="E65" s="1825"/>
      <c r="F65" s="1825"/>
      <c r="G65" s="1825"/>
      <c r="H65" s="1825"/>
      <c r="I65" s="1825"/>
      <c r="J65" s="1825"/>
      <c r="K65" s="1825"/>
      <c r="L65" s="1825"/>
      <c r="M65" s="1825"/>
      <c r="N65" s="1825"/>
      <c r="O65" s="1825"/>
      <c r="P65" s="1825"/>
      <c r="Q65" s="1825"/>
      <c r="R65" s="1825"/>
      <c r="S65" s="1826"/>
    </row>
    <row r="66" spans="2:19" ht="13.5" customHeight="1" x14ac:dyDescent="0.25">
      <c r="B66" s="1883"/>
      <c r="C66" s="1883"/>
      <c r="D66" s="1883"/>
      <c r="E66" s="1883"/>
      <c r="F66" s="1883"/>
      <c r="G66" s="1883"/>
      <c r="H66" s="1883"/>
      <c r="I66" s="1883"/>
      <c r="J66" s="1883"/>
      <c r="K66" s="1883"/>
      <c r="L66" s="1825"/>
      <c r="M66" s="1825"/>
      <c r="N66" s="1825"/>
      <c r="O66" s="1825"/>
      <c r="P66" s="1825"/>
      <c r="Q66" s="1825"/>
      <c r="R66" s="1825"/>
      <c r="S66" s="1825"/>
    </row>
    <row r="67" spans="2:19" x14ac:dyDescent="0.25">
      <c r="B67" s="2158"/>
      <c r="C67" s="2158"/>
      <c r="D67" s="2158"/>
      <c r="E67" s="2158"/>
      <c r="F67" s="2158"/>
      <c r="G67" s="2158"/>
      <c r="H67" s="2158"/>
      <c r="I67" s="2158"/>
      <c r="J67" s="2158"/>
      <c r="K67" s="2158"/>
    </row>
    <row r="69" spans="2:19" ht="14.25" x14ac:dyDescent="0.3">
      <c r="D69" s="962"/>
      <c r="G69" s="962"/>
    </row>
  </sheetData>
  <sheetProtection algorithmName="SHA-512" hashValue="scNISkZ+083lHYRfmdUTb/Jxdr3iaGSDIm1E3dJoZ4sADowdekSncZZ24I9Oz90bAuuUlmOjP+JOdpfDmIhb8A==" saltValue="lYZM9x9QoIl0+H9suN6Hgw==" spinCount="100000" sheet="1" formatCells="0" formatColumns="0" formatRows="0" insertColumns="0" insertRows="0" insertHyperlinks="0" deleteColumns="0" deleteRows="0" sort="0" autoFilter="0" pivotTables="0"/>
  <mergeCells count="61">
    <mergeCell ref="N48:N49"/>
    <mergeCell ref="M48:M49"/>
    <mergeCell ref="O48:O49"/>
    <mergeCell ref="P48:P49"/>
    <mergeCell ref="Q48:Q49"/>
    <mergeCell ref="R48:R49"/>
    <mergeCell ref="O33:O34"/>
    <mergeCell ref="P33:P34"/>
    <mergeCell ref="Q33:Q34"/>
    <mergeCell ref="R33:R34"/>
    <mergeCell ref="S33:S34"/>
    <mergeCell ref="I33:I34"/>
    <mergeCell ref="J33:J34"/>
    <mergeCell ref="K33:K34"/>
    <mergeCell ref="L33:L34"/>
    <mergeCell ref="N33:N34"/>
    <mergeCell ref="M33:M34"/>
    <mergeCell ref="N17:N18"/>
    <mergeCell ref="I2:I3"/>
    <mergeCell ref="J2:J3"/>
    <mergeCell ref="E33:E34"/>
    <mergeCell ref="F33:F34"/>
    <mergeCell ref="G33:G34"/>
    <mergeCell ref="H33:H34"/>
    <mergeCell ref="H17:H18"/>
    <mergeCell ref="I17:I18"/>
    <mergeCell ref="J17:J18"/>
    <mergeCell ref="K17:K18"/>
    <mergeCell ref="L17:L18"/>
    <mergeCell ref="M17:M18"/>
    <mergeCell ref="Q17:Q18"/>
    <mergeCell ref="R17:R18"/>
    <mergeCell ref="O2:O3"/>
    <mergeCell ref="P2:P3"/>
    <mergeCell ref="Q2:Q3"/>
    <mergeCell ref="S2:S3"/>
    <mergeCell ref="E2:E3"/>
    <mergeCell ref="F2:F3"/>
    <mergeCell ref="G2:G3"/>
    <mergeCell ref="H2:H3"/>
    <mergeCell ref="K2:K3"/>
    <mergeCell ref="L2:L3"/>
    <mergeCell ref="M2:M3"/>
    <mergeCell ref="N2:N3"/>
    <mergeCell ref="R2:R3"/>
    <mergeCell ref="B63:S64"/>
    <mergeCell ref="S48:S49"/>
    <mergeCell ref="S17:S18"/>
    <mergeCell ref="E48:E49"/>
    <mergeCell ref="F48:F49"/>
    <mergeCell ref="G48:G49"/>
    <mergeCell ref="H48:H49"/>
    <mergeCell ref="I48:I49"/>
    <mergeCell ref="J48:J49"/>
    <mergeCell ref="K48:K49"/>
    <mergeCell ref="L48:L49"/>
    <mergeCell ref="E17:E18"/>
    <mergeCell ref="F17:F18"/>
    <mergeCell ref="G17:G18"/>
    <mergeCell ref="O17:O18"/>
    <mergeCell ref="P17:P18"/>
  </mergeCells>
  <phoneticPr fontId="7" type="noConversion"/>
  <pageMargins left="0.39370078740157483" right="0.31496062992125984" top="0.98425196850393704" bottom="0.98425196850393704" header="0.51181102362204722" footer="0.51181102362204722"/>
  <pageSetup paperSize="9" scale="48" orientation="landscape" r:id="rId1"/>
  <headerFooter alignWithMargins="0">
    <oddFooter>&amp;L&amp;A&amp;C&amp;D</oddFooter>
  </headerFooter>
  <ignoredErrors>
    <ignoredError sqref="C34"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27">
    <pageSetUpPr fitToPage="1"/>
  </sheetPr>
  <dimension ref="A1:AC44"/>
  <sheetViews>
    <sheetView defaultGridColor="0" colorId="23" zoomScale="80" zoomScaleNormal="80" workbookViewId="0"/>
  </sheetViews>
  <sheetFormatPr defaultColWidth="9.140625" defaultRowHeight="13.5" x14ac:dyDescent="0.3"/>
  <cols>
    <col min="1" max="1" width="2.7109375" style="25" customWidth="1"/>
    <col min="2" max="2" width="5.7109375" style="25" customWidth="1"/>
    <col min="3" max="3" width="36.28515625" style="25" customWidth="1"/>
    <col min="4" max="4" width="12.28515625" style="25" customWidth="1"/>
    <col min="5" max="29" width="10.7109375" style="25" customWidth="1"/>
    <col min="30" max="35" width="7.140625" style="25" customWidth="1"/>
    <col min="36" max="16384" width="9.140625" style="25"/>
  </cols>
  <sheetData>
    <row r="1" spans="1:29" ht="14.25" thickBot="1" x14ac:dyDescent="0.35">
      <c r="A1" s="207" t="s">
        <v>2</v>
      </c>
    </row>
    <row r="2" spans="1:29" s="207" customFormat="1" ht="14.25" x14ac:dyDescent="0.3">
      <c r="B2" s="993" t="s">
        <v>177</v>
      </c>
      <c r="C2" s="1737" t="str">
        <f>IF('0 Úvod'!$M$10="English",Slovnik!D674,Slovnik!C674)</f>
        <v>Udržitelnost projektu (CZK)</v>
      </c>
      <c r="D2" s="994"/>
      <c r="E2" s="2323">
        <f>'0 Úvod'!G18</f>
        <v>2021</v>
      </c>
      <c r="F2" s="2323">
        <f t="shared" ref="F2:S2" si="0">E2+1</f>
        <v>2022</v>
      </c>
      <c r="G2" s="2323">
        <f t="shared" si="0"/>
        <v>2023</v>
      </c>
      <c r="H2" s="2323">
        <f t="shared" si="0"/>
        <v>2024</v>
      </c>
      <c r="I2" s="2323">
        <f t="shared" si="0"/>
        <v>2025</v>
      </c>
      <c r="J2" s="2323">
        <f t="shared" si="0"/>
        <v>2026</v>
      </c>
      <c r="K2" s="2323">
        <f t="shared" si="0"/>
        <v>2027</v>
      </c>
      <c r="L2" s="2323">
        <f t="shared" si="0"/>
        <v>2028</v>
      </c>
      <c r="M2" s="2323">
        <f t="shared" si="0"/>
        <v>2029</v>
      </c>
      <c r="N2" s="2323">
        <f t="shared" si="0"/>
        <v>2030</v>
      </c>
      <c r="O2" s="2323">
        <f t="shared" si="0"/>
        <v>2031</v>
      </c>
      <c r="P2" s="2323">
        <f t="shared" si="0"/>
        <v>2032</v>
      </c>
      <c r="Q2" s="2323">
        <f t="shared" si="0"/>
        <v>2033</v>
      </c>
      <c r="R2" s="2323">
        <f t="shared" si="0"/>
        <v>2034</v>
      </c>
      <c r="S2" s="2329">
        <f t="shared" si="0"/>
        <v>2035</v>
      </c>
      <c r="T2" s="978"/>
      <c r="U2" s="978"/>
      <c r="V2" s="978"/>
      <c r="W2" s="978"/>
      <c r="X2" s="978"/>
      <c r="Y2" s="978"/>
      <c r="Z2" s="978"/>
      <c r="AA2" s="978"/>
      <c r="AB2" s="978"/>
      <c r="AC2" s="978"/>
    </row>
    <row r="3" spans="1:29" s="207" customFormat="1" ht="15" thickBot="1" x14ac:dyDescent="0.35">
      <c r="A3" s="1101"/>
      <c r="B3" s="1045" t="s">
        <v>23</v>
      </c>
      <c r="C3" s="1738" t="str">
        <f>IF('0 Úvod'!$M$10="English",Slovnik!D675,Slovnik!C675)</f>
        <v>Stálé ceny</v>
      </c>
      <c r="D3" s="1392" t="str">
        <f>IF('0 Úvod'!$M$10="English",Slovnik!$D$690,Slovnik!$C$690)</f>
        <v>Celkem</v>
      </c>
      <c r="E3" s="2662"/>
      <c r="F3" s="2662"/>
      <c r="G3" s="2662"/>
      <c r="H3" s="2662"/>
      <c r="I3" s="2662"/>
      <c r="J3" s="2662"/>
      <c r="K3" s="2662"/>
      <c r="L3" s="2662"/>
      <c r="M3" s="2662"/>
      <c r="N3" s="2662"/>
      <c r="O3" s="2662"/>
      <c r="P3" s="2662"/>
      <c r="Q3" s="2662"/>
      <c r="R3" s="2662"/>
      <c r="S3" s="2663"/>
      <c r="T3" s="978"/>
      <c r="U3" s="978"/>
      <c r="V3" s="978"/>
      <c r="W3" s="978"/>
      <c r="X3" s="978"/>
      <c r="Y3" s="978"/>
      <c r="Z3" s="978"/>
      <c r="AA3" s="978"/>
      <c r="AB3" s="978"/>
      <c r="AC3" s="978"/>
    </row>
    <row r="4" spans="1:29" ht="14.25" x14ac:dyDescent="0.3">
      <c r="A4" s="1101"/>
      <c r="B4" s="1111"/>
      <c r="C4" s="1007" t="str">
        <f>IF('0 Úvod'!$M$10="English",Slovnik!D676,Slovnik!C676)</f>
        <v>Provozní příjmy</v>
      </c>
      <c r="D4" s="1125">
        <f>SUM(E4:S4,E21:S21)</f>
        <v>14724920</v>
      </c>
      <c r="E4" s="1129">
        <f>'8 Příjmy'!E7</f>
        <v>0</v>
      </c>
      <c r="F4" s="1130">
        <f>'8 Příjmy'!F7</f>
        <v>0</v>
      </c>
      <c r="G4" s="1130">
        <f>'8 Příjmy'!G7</f>
        <v>7362460</v>
      </c>
      <c r="H4" s="1130">
        <f>'8 Příjmy'!H7</f>
        <v>0</v>
      </c>
      <c r="I4" s="1130">
        <f>'8 Příjmy'!I7</f>
        <v>0</v>
      </c>
      <c r="J4" s="1130">
        <f>'8 Příjmy'!J7</f>
        <v>0</v>
      </c>
      <c r="K4" s="1130">
        <f>'8 Příjmy'!K7</f>
        <v>0</v>
      </c>
      <c r="L4" s="1130">
        <f>'8 Příjmy'!L7</f>
        <v>0</v>
      </c>
      <c r="M4" s="1130">
        <f>'8 Příjmy'!M7</f>
        <v>0</v>
      </c>
      <c r="N4" s="1130">
        <f>'8 Příjmy'!N7</f>
        <v>0</v>
      </c>
      <c r="O4" s="1130">
        <f>'8 Příjmy'!O7</f>
        <v>0</v>
      </c>
      <c r="P4" s="1130">
        <f>'8 Příjmy'!P7</f>
        <v>0</v>
      </c>
      <c r="Q4" s="1130">
        <f>'8 Příjmy'!Q7</f>
        <v>0</v>
      </c>
      <c r="R4" s="1130">
        <f>'8 Příjmy'!R7</f>
        <v>0</v>
      </c>
      <c r="S4" s="1131">
        <f>'8 Příjmy'!S7</f>
        <v>0</v>
      </c>
      <c r="T4" s="1102"/>
      <c r="U4" s="1102"/>
      <c r="V4" s="1102"/>
      <c r="W4" s="1102"/>
      <c r="X4" s="1102"/>
      <c r="Y4" s="1102"/>
      <c r="Z4" s="1102"/>
      <c r="AA4" s="1102"/>
      <c r="AB4" s="1102"/>
      <c r="AC4" s="1102"/>
    </row>
    <row r="5" spans="1:29" ht="14.25" x14ac:dyDescent="0.3">
      <c r="A5" s="1101"/>
      <c r="B5" s="1111"/>
      <c r="C5" s="59" t="str">
        <f>IF('0 Úvod'!$M$10="English",Slovnik!D677,Slovnik!C677)</f>
        <v>Úvěry</v>
      </c>
      <c r="D5" s="1126">
        <f t="shared" ref="D5:D16" si="1">SUM(E5:S5,E22:S22)</f>
        <v>0</v>
      </c>
      <c r="E5" s="1132">
        <f>'15 Finanční struktura'!E7</f>
        <v>0</v>
      </c>
      <c r="F5" s="1133">
        <f>'15 Finanční struktura'!F7</f>
        <v>0</v>
      </c>
      <c r="G5" s="1133">
        <f>'15 Finanční struktura'!G7</f>
        <v>0</v>
      </c>
      <c r="H5" s="1133">
        <f>'15 Finanční struktura'!H7</f>
        <v>0</v>
      </c>
      <c r="I5" s="1133">
        <f>'15 Finanční struktura'!I7</f>
        <v>0</v>
      </c>
      <c r="J5" s="1133">
        <f>'15 Finanční struktura'!J7</f>
        <v>0</v>
      </c>
      <c r="K5" s="1133">
        <f>'15 Finanční struktura'!K7</f>
        <v>0</v>
      </c>
      <c r="L5" s="1133">
        <f>'15 Finanční struktura'!L7</f>
        <v>0</v>
      </c>
      <c r="M5" s="1133">
        <f>'15 Finanční struktura'!M7</f>
        <v>0</v>
      </c>
      <c r="N5" s="1133">
        <f>'15 Finanční struktura'!N7</f>
        <v>0</v>
      </c>
      <c r="O5" s="1133">
        <f>'15 Finanční struktura'!O7</f>
        <v>0</v>
      </c>
      <c r="P5" s="1133">
        <f>'15 Finanční struktura'!P7</f>
        <v>0</v>
      </c>
      <c r="Q5" s="1133">
        <f>'15 Finanční struktura'!Q7</f>
        <v>0</v>
      </c>
      <c r="R5" s="1133">
        <f>'15 Finanční struktura'!R7</f>
        <v>0</v>
      </c>
      <c r="S5" s="1134">
        <f>'15 Finanční struktura'!S7</f>
        <v>0</v>
      </c>
      <c r="T5" s="1102"/>
      <c r="U5" s="1102"/>
      <c r="V5" s="1102"/>
      <c r="W5" s="1102"/>
      <c r="X5" s="1102"/>
      <c r="Y5" s="1102"/>
      <c r="Z5" s="1102"/>
      <c r="AA5" s="1102"/>
      <c r="AB5" s="1102"/>
      <c r="AC5" s="1102"/>
    </row>
    <row r="6" spans="1:29" ht="14.25" x14ac:dyDescent="0.3">
      <c r="A6" s="1101" t="s">
        <v>2</v>
      </c>
      <c r="B6" s="1111"/>
      <c r="C6" s="59" t="str">
        <f>IF('0 Úvod'!$M$10="English",Slovnik!D678,Slovnik!C678)</f>
        <v>Celkové zdroje žadatele</v>
      </c>
      <c r="D6" s="1126">
        <f t="shared" si="1"/>
        <v>0</v>
      </c>
      <c r="E6" s="359">
        <f>'15 Finanční struktura'!E6</f>
        <v>0</v>
      </c>
      <c r="F6" s="360">
        <f>'15 Finanční struktura'!F6</f>
        <v>0</v>
      </c>
      <c r="G6" s="360">
        <f>'15 Finanční struktura'!G6</f>
        <v>0</v>
      </c>
      <c r="H6" s="360">
        <f>'15 Finanční struktura'!H6</f>
        <v>0</v>
      </c>
      <c r="I6" s="360">
        <f>'15 Finanční struktura'!I6</f>
        <v>0</v>
      </c>
      <c r="J6" s="360">
        <f>'15 Finanční struktura'!J6</f>
        <v>0</v>
      </c>
      <c r="K6" s="360">
        <f>'15 Finanční struktura'!K6</f>
        <v>0</v>
      </c>
      <c r="L6" s="360">
        <f>'15 Finanční struktura'!L6</f>
        <v>0</v>
      </c>
      <c r="M6" s="360">
        <f>'15 Finanční struktura'!M6</f>
        <v>0</v>
      </c>
      <c r="N6" s="360">
        <f>'15 Finanční struktura'!N6</f>
        <v>0</v>
      </c>
      <c r="O6" s="360">
        <f>'15 Finanční struktura'!O6</f>
        <v>0</v>
      </c>
      <c r="P6" s="360">
        <f>'15 Finanční struktura'!P6</f>
        <v>0</v>
      </c>
      <c r="Q6" s="360">
        <f>'15 Finanční struktura'!Q6</f>
        <v>0</v>
      </c>
      <c r="R6" s="360">
        <f>'15 Finanční struktura'!R6</f>
        <v>0</v>
      </c>
      <c r="S6" s="361">
        <f>'15 Finanční struktura'!S6</f>
        <v>0</v>
      </c>
      <c r="T6" s="208"/>
      <c r="U6" s="208"/>
      <c r="V6" s="208"/>
      <c r="W6" s="208"/>
      <c r="X6" s="208"/>
      <c r="Y6" s="208"/>
      <c r="Z6" s="208"/>
      <c r="AA6" s="208"/>
      <c r="AB6" s="208"/>
      <c r="AC6" s="208"/>
    </row>
    <row r="7" spans="1:29" ht="14.25" x14ac:dyDescent="0.3">
      <c r="A7" s="1103" t="s">
        <v>2</v>
      </c>
      <c r="B7" s="1111"/>
      <c r="C7" s="1112" t="str">
        <f>IF('0 Úvod'!$M$10="English",Slovnik!D679,Slovnik!C679)</f>
        <v>Zdroje státního rozpočtu</v>
      </c>
      <c r="D7" s="1126">
        <f t="shared" si="1"/>
        <v>0</v>
      </c>
      <c r="E7" s="359">
        <f>'15 Finanční struktura'!E8</f>
        <v>0</v>
      </c>
      <c r="F7" s="360">
        <f>'15 Finanční struktura'!F8</f>
        <v>0</v>
      </c>
      <c r="G7" s="360">
        <f>'15 Finanční struktura'!G8</f>
        <v>0</v>
      </c>
      <c r="H7" s="360">
        <f>'15 Finanční struktura'!H8</f>
        <v>0</v>
      </c>
      <c r="I7" s="360">
        <f>'15 Finanční struktura'!I8</f>
        <v>0</v>
      </c>
      <c r="J7" s="360">
        <f>'15 Finanční struktura'!J8</f>
        <v>0</v>
      </c>
      <c r="K7" s="360">
        <f>'15 Finanční struktura'!K8</f>
        <v>0</v>
      </c>
      <c r="L7" s="360">
        <f>'15 Finanční struktura'!L8</f>
        <v>0</v>
      </c>
      <c r="M7" s="360">
        <f>'15 Finanční struktura'!M8</f>
        <v>0</v>
      </c>
      <c r="N7" s="360">
        <f>'15 Finanční struktura'!N8</f>
        <v>0</v>
      </c>
      <c r="O7" s="360">
        <f>'15 Finanční struktura'!O8</f>
        <v>0</v>
      </c>
      <c r="P7" s="360">
        <f>'15 Finanční struktura'!P8</f>
        <v>0</v>
      </c>
      <c r="Q7" s="360">
        <f>'15 Finanční struktura'!Q8</f>
        <v>0</v>
      </c>
      <c r="R7" s="360">
        <f>'15 Finanční struktura'!R8</f>
        <v>0</v>
      </c>
      <c r="S7" s="361">
        <f>'15 Finanční struktura'!S8</f>
        <v>0</v>
      </c>
      <c r="T7" s="208"/>
      <c r="U7" s="208"/>
      <c r="V7" s="208"/>
      <c r="W7" s="208"/>
      <c r="X7" s="208"/>
      <c r="Y7" s="208"/>
      <c r="Z7" s="208"/>
      <c r="AA7" s="208"/>
      <c r="AB7" s="208"/>
      <c r="AC7" s="208"/>
    </row>
    <row r="8" spans="1:29" ht="14.25" x14ac:dyDescent="0.3">
      <c r="A8" s="1101" t="s">
        <v>2</v>
      </c>
      <c r="B8" s="1111"/>
      <c r="C8" s="1113" t="str">
        <f>IF('0 Úvod'!$M$10="English",Slovnik!D680,Slovnik!C680)</f>
        <v>Granty EU</v>
      </c>
      <c r="D8" s="1091">
        <f t="shared" si="1"/>
        <v>0</v>
      </c>
      <c r="E8" s="359">
        <f>'15 Finanční struktura'!E10</f>
        <v>0</v>
      </c>
      <c r="F8" s="360">
        <f>'15 Finanční struktura'!F10</f>
        <v>0</v>
      </c>
      <c r="G8" s="360">
        <f>'15 Finanční struktura'!G10</f>
        <v>0</v>
      </c>
      <c r="H8" s="360">
        <f>'15 Finanční struktura'!H10</f>
        <v>0</v>
      </c>
      <c r="I8" s="360">
        <f>'15 Finanční struktura'!I10</f>
        <v>0</v>
      </c>
      <c r="J8" s="360">
        <f>'15 Finanční struktura'!J10</f>
        <v>0</v>
      </c>
      <c r="K8" s="360">
        <f>'15 Finanční struktura'!K10</f>
        <v>0</v>
      </c>
      <c r="L8" s="360">
        <f>'15 Finanční struktura'!L10</f>
        <v>0</v>
      </c>
      <c r="M8" s="360">
        <f>'15 Finanční struktura'!M10</f>
        <v>0</v>
      </c>
      <c r="N8" s="360">
        <f>'15 Finanční struktura'!N10</f>
        <v>0</v>
      </c>
      <c r="O8" s="360">
        <f>'15 Finanční struktura'!O10</f>
        <v>0</v>
      </c>
      <c r="P8" s="360">
        <f>'15 Finanční struktura'!P10</f>
        <v>0</v>
      </c>
      <c r="Q8" s="360">
        <f>'15 Finanční struktura'!Q10</f>
        <v>0</v>
      </c>
      <c r="R8" s="360">
        <f>'15 Finanční struktura'!R10</f>
        <v>0</v>
      </c>
      <c r="S8" s="361">
        <f>'15 Finanční struktura'!S10</f>
        <v>0</v>
      </c>
      <c r="T8" s="208"/>
      <c r="U8" s="208"/>
      <c r="V8" s="208"/>
      <c r="W8" s="208"/>
      <c r="X8" s="208"/>
      <c r="Y8" s="208"/>
      <c r="Z8" s="208"/>
      <c r="AA8" s="208"/>
      <c r="AB8" s="208"/>
      <c r="AC8" s="208"/>
    </row>
    <row r="9" spans="1:29" ht="14.25" x14ac:dyDescent="0.3">
      <c r="A9" s="1101"/>
      <c r="B9" s="1111"/>
      <c r="C9" s="1113" t="str">
        <f>IF('0 Úvod'!$M$10="English",Slovnik!D681,Slovnik!C681)</f>
        <v>Dotace</v>
      </c>
      <c r="D9" s="1091">
        <f t="shared" si="1"/>
        <v>864437031.27888775</v>
      </c>
      <c r="E9" s="359">
        <f>IF('10 Finanční analýza (FRR_C)'!$S$29="SILNIČNÍ",0,'13 Kontrola dotací'!E7)</f>
        <v>10397061.243418448</v>
      </c>
      <c r="F9" s="360">
        <f>IF('10 Finanční analýza (FRR_C)'!$S$29="SILNIČNÍ",0,'13 Kontrola dotací'!F7)</f>
        <v>10524600.639997479</v>
      </c>
      <c r="G9" s="360">
        <f>IF('10 Finanční analýza (FRR_C)'!$S$29="SILNIČNÍ",0,'13 Kontrola dotací'!G7)</f>
        <v>9583568.9312365912</v>
      </c>
      <c r="H9" s="360">
        <f>IF('10 Finanční analýza (FRR_C)'!$S$29="SILNIČNÍ",0,'13 Kontrola dotací'!H7)</f>
        <v>9714767.6725554578</v>
      </c>
      <c r="I9" s="360">
        <f>IF('10 Finanční analýza (FRR_C)'!$S$29="SILNIČNÍ",0,'13 Kontrola dotací'!I7)</f>
        <v>9848635.2351918146</v>
      </c>
      <c r="J9" s="360">
        <f>IF('10 Finanční analýza (FRR_C)'!$S$29="SILNIČNÍ",0,'13 Kontrola dotací'!J7)</f>
        <v>9985231.0570045412</v>
      </c>
      <c r="K9" s="360">
        <f>IF('10 Finanční analýza (FRR_C)'!$S$29="SILNIČNÍ",0,'13 Kontrola dotací'!K7)</f>
        <v>10124615.928588733</v>
      </c>
      <c r="L9" s="360">
        <f>IF('10 Finanční analýza (FRR_C)'!$S$29="SILNIČNÍ",0,'13 Kontrola dotací'!L7)</f>
        <v>10266852.02421142</v>
      </c>
      <c r="M9" s="360">
        <f>IF('10 Finanční analýza (FRR_C)'!$S$29="SILNIČNÍ",0,'13 Kontrola dotací'!M7)</f>
        <v>10412002.933455475</v>
      </c>
      <c r="N9" s="360">
        <f>IF('10 Finanční analýza (FRR_C)'!$S$29="SILNIČNÍ",0,'13 Kontrola dotací'!N7)</f>
        <v>10560133.693587987</v>
      </c>
      <c r="O9" s="360">
        <f>IF('10 Finanční analýza (FRR_C)'!$S$29="SILNIČNÍ",0,'13 Kontrola dotací'!O7)</f>
        <v>10711310.822669638</v>
      </c>
      <c r="P9" s="360">
        <f>IF('10 Finanční analýza (FRR_C)'!$S$29="SILNIČNÍ",0,'13 Kontrola dotací'!P7)</f>
        <v>10865602.353422072</v>
      </c>
      <c r="Q9" s="360">
        <f>IF('10 Finanční analýza (FRR_C)'!$S$29="SILNIČNÍ",0,'13 Kontrola dotací'!Q7)</f>
        <v>11023077.867870625</v>
      </c>
      <c r="R9" s="360">
        <f>IF('10 Finanční analýza (FRR_C)'!$S$29="SILNIČNÍ",0,'13 Kontrola dotací'!R7)</f>
        <v>11183808.532780144</v>
      </c>
      <c r="S9" s="361">
        <f>IF('10 Finanční analýza (FRR_C)'!$S$29="SILNIČNÍ",0,'13 Kontrola dotací'!S7)</f>
        <v>11347867.13590209</v>
      </c>
      <c r="T9" s="208"/>
      <c r="U9" s="208"/>
      <c r="V9" s="208"/>
      <c r="W9" s="208"/>
      <c r="X9" s="208"/>
      <c r="Y9" s="208"/>
      <c r="Z9" s="208"/>
      <c r="AA9" s="208"/>
      <c r="AB9" s="208"/>
      <c r="AC9" s="208"/>
    </row>
    <row r="10" spans="1:29" ht="14.25" x14ac:dyDescent="0.3">
      <c r="A10" s="207"/>
      <c r="B10" s="1107"/>
      <c r="C10" s="1108" t="str">
        <f>IF('0 Úvod'!$M$10="English",Slovnik!D682,Slovnik!C682)</f>
        <v>Celkové příjmy</v>
      </c>
      <c r="D10" s="1049">
        <f t="shared" si="1"/>
        <v>879161951.27888775</v>
      </c>
      <c r="E10" s="1093">
        <f>SUM(E4:E9)</f>
        <v>10397061.243418448</v>
      </c>
      <c r="F10" s="1094">
        <f t="shared" ref="F10:S10" si="2">SUM(F4:F9)</f>
        <v>10524600.639997479</v>
      </c>
      <c r="G10" s="1094">
        <f t="shared" si="2"/>
        <v>16946028.931236591</v>
      </c>
      <c r="H10" s="1094">
        <f t="shared" si="2"/>
        <v>9714767.6725554578</v>
      </c>
      <c r="I10" s="1094">
        <f t="shared" si="2"/>
        <v>9848635.2351918146</v>
      </c>
      <c r="J10" s="1094">
        <f t="shared" si="2"/>
        <v>9985231.0570045412</v>
      </c>
      <c r="K10" s="1094">
        <f t="shared" si="2"/>
        <v>10124615.928588733</v>
      </c>
      <c r="L10" s="1094">
        <f t="shared" si="2"/>
        <v>10266852.02421142</v>
      </c>
      <c r="M10" s="1094">
        <f t="shared" si="2"/>
        <v>10412002.933455475</v>
      </c>
      <c r="N10" s="1094">
        <f t="shared" si="2"/>
        <v>10560133.693587987</v>
      </c>
      <c r="O10" s="1094">
        <f t="shared" si="2"/>
        <v>10711310.822669638</v>
      </c>
      <c r="P10" s="1094">
        <f t="shared" si="2"/>
        <v>10865602.353422072</v>
      </c>
      <c r="Q10" s="1094">
        <f t="shared" si="2"/>
        <v>11023077.867870625</v>
      </c>
      <c r="R10" s="1094">
        <f t="shared" si="2"/>
        <v>11183808.532780144</v>
      </c>
      <c r="S10" s="1085">
        <f t="shared" si="2"/>
        <v>11347867.13590209</v>
      </c>
      <c r="T10" s="220"/>
      <c r="U10" s="220"/>
      <c r="V10" s="220"/>
      <c r="W10" s="220"/>
      <c r="X10" s="220"/>
      <c r="Y10" s="220"/>
      <c r="Z10" s="220"/>
      <c r="AA10" s="220"/>
      <c r="AB10" s="220"/>
      <c r="AC10" s="220"/>
    </row>
    <row r="11" spans="1:29" ht="14.25" x14ac:dyDescent="0.3">
      <c r="A11" s="1101"/>
      <c r="B11" s="1111"/>
      <c r="C11" s="1114" t="str">
        <f>IF('0 Úvod'!$M$10="English",Slovnik!D683,Slovnik!C683)</f>
        <v>Celkové provozní náklady</v>
      </c>
      <c r="D11" s="1126">
        <f t="shared" si="1"/>
        <v>864437031.27888775</v>
      </c>
      <c r="E11" s="359">
        <f>IF(OR('10 Finanční analýza (FRR_C)'!$S$30="MHD",'10 Finanční analýza (FRR_C)'!$S$30="MHD (vč. MĚSTSKÝ BUS)"),'3 PN infrastruktury'!E13+'4 PN vozidel'!E12,'3 PN infrastruktury'!E13)</f>
        <v>10397061.243418448</v>
      </c>
      <c r="F11" s="360">
        <f>IF(OR('10 Finanční analýza (FRR_C)'!$S$30="MHD",'10 Finanční analýza (FRR_C)'!$S$30="MHD (vč. MĚSTSKÝ BUS)"),'3 PN infrastruktury'!F13+'4 PN vozidel'!F12,'3 PN infrastruktury'!F13)</f>
        <v>10524600.639997479</v>
      </c>
      <c r="G11" s="360">
        <f>IF(OR('10 Finanční analýza (FRR_C)'!$S$30="MHD",'10 Finanční analýza (FRR_C)'!$S$30="MHD (vč. MĚSTSKÝ BUS)"),'3 PN infrastruktury'!G13+'4 PN vozidel'!G12,'3 PN infrastruktury'!G13)</f>
        <v>9583568.9312365912</v>
      </c>
      <c r="H11" s="360">
        <f>IF(OR('10 Finanční analýza (FRR_C)'!$S$30="MHD",'10 Finanční analýza (FRR_C)'!$S$30="MHD (vč. MĚSTSKÝ BUS)"),'3 PN infrastruktury'!H13+'4 PN vozidel'!H12,'3 PN infrastruktury'!H13)</f>
        <v>9714767.6725554578</v>
      </c>
      <c r="I11" s="360">
        <f>IF(OR('10 Finanční analýza (FRR_C)'!$S$30="MHD",'10 Finanční analýza (FRR_C)'!$S$30="MHD (vč. MĚSTSKÝ BUS)"),'3 PN infrastruktury'!I13+'4 PN vozidel'!I12,'3 PN infrastruktury'!I13)</f>
        <v>9848635.2351918146</v>
      </c>
      <c r="J11" s="360">
        <f>IF(OR('10 Finanční analýza (FRR_C)'!$S$30="MHD",'10 Finanční analýza (FRR_C)'!$S$30="MHD (vč. MĚSTSKÝ BUS)"),'3 PN infrastruktury'!J13+'4 PN vozidel'!J12,'3 PN infrastruktury'!J13)</f>
        <v>9985231.0570045412</v>
      </c>
      <c r="K11" s="360">
        <f>IF(OR('10 Finanční analýza (FRR_C)'!$S$30="MHD",'10 Finanční analýza (FRR_C)'!$S$30="MHD (vč. MĚSTSKÝ BUS)"),'3 PN infrastruktury'!K13+'4 PN vozidel'!K12,'3 PN infrastruktury'!K13)</f>
        <v>10124615.928588733</v>
      </c>
      <c r="L11" s="360">
        <f>IF(OR('10 Finanční analýza (FRR_C)'!$S$30="MHD",'10 Finanční analýza (FRR_C)'!$S$30="MHD (vč. MĚSTSKÝ BUS)"),'3 PN infrastruktury'!L13+'4 PN vozidel'!L12,'3 PN infrastruktury'!L13)</f>
        <v>10266852.02421142</v>
      </c>
      <c r="M11" s="360">
        <f>IF(OR('10 Finanční analýza (FRR_C)'!$S$30="MHD",'10 Finanční analýza (FRR_C)'!$S$30="MHD (vč. MĚSTSKÝ BUS)"),'3 PN infrastruktury'!M13+'4 PN vozidel'!M12,'3 PN infrastruktury'!M13)</f>
        <v>10412002.933455475</v>
      </c>
      <c r="N11" s="360">
        <f>IF(OR('10 Finanční analýza (FRR_C)'!$S$30="MHD",'10 Finanční analýza (FRR_C)'!$S$30="MHD (vč. MĚSTSKÝ BUS)"),'3 PN infrastruktury'!N13+'4 PN vozidel'!N12,'3 PN infrastruktury'!N13)</f>
        <v>10560133.693587987</v>
      </c>
      <c r="O11" s="360">
        <f>IF(OR('10 Finanční analýza (FRR_C)'!$S$30="MHD",'10 Finanční analýza (FRR_C)'!$S$30="MHD (vč. MĚSTSKÝ BUS)"),'3 PN infrastruktury'!O13+'4 PN vozidel'!O12,'3 PN infrastruktury'!O13)</f>
        <v>10711310.822669638</v>
      </c>
      <c r="P11" s="360">
        <f>IF(OR('10 Finanční analýza (FRR_C)'!$S$30="MHD",'10 Finanční analýza (FRR_C)'!$S$30="MHD (vč. MĚSTSKÝ BUS)"),'3 PN infrastruktury'!P13+'4 PN vozidel'!P12,'3 PN infrastruktury'!P13)</f>
        <v>10865602.353422072</v>
      </c>
      <c r="Q11" s="360">
        <f>IF(OR('10 Finanční analýza (FRR_C)'!$S$30="MHD",'10 Finanční analýza (FRR_C)'!$S$30="MHD (vč. MĚSTSKÝ BUS)"),'3 PN infrastruktury'!Q13+'4 PN vozidel'!Q12,'3 PN infrastruktury'!Q13)</f>
        <v>11023077.867870625</v>
      </c>
      <c r="R11" s="360">
        <f>IF(OR('10 Finanční analýza (FRR_C)'!$S$30="MHD",'10 Finanční analýza (FRR_C)'!$S$30="MHD (vč. MĚSTSKÝ BUS)"),'3 PN infrastruktury'!R13+'4 PN vozidel'!R12,'3 PN infrastruktury'!R13)</f>
        <v>11183808.532780144</v>
      </c>
      <c r="S11" s="361">
        <f>IF(OR('10 Finanční analýza (FRR_C)'!$S$30="MHD",'10 Finanční analýza (FRR_C)'!$S$30="MHD (vč. MĚSTSKÝ BUS)"),'3 PN infrastruktury'!S13+'4 PN vozidel'!S12,'3 PN infrastruktury'!S13)</f>
        <v>11347867.13590209</v>
      </c>
      <c r="T11" s="208"/>
      <c r="U11" s="208"/>
      <c r="V11" s="208"/>
      <c r="W11" s="208"/>
      <c r="X11" s="208"/>
      <c r="Y11" s="208"/>
      <c r="Z11" s="208"/>
      <c r="AA11" s="208"/>
      <c r="AB11" s="208"/>
      <c r="AC11" s="208"/>
    </row>
    <row r="12" spans="1:29" ht="14.25" x14ac:dyDescent="0.3">
      <c r="A12" s="1101"/>
      <c r="B12" s="1111"/>
      <c r="C12" s="1115" t="str">
        <f>IF('0 Úvod'!$M$10="English",Slovnik!D684,Slovnik!C684)</f>
        <v>Celkové investiční náklady</v>
      </c>
      <c r="D12" s="1126">
        <f t="shared" si="1"/>
        <v>745162206.95570385</v>
      </c>
      <c r="E12" s="359">
        <f>'10 Finanční analýza (FRR_C)'!E8</f>
        <v>86484854.854751453</v>
      </c>
      <c r="F12" s="360">
        <f>'10 Finanční analýza (FRR_C)'!F8</f>
        <v>644597564.10095239</v>
      </c>
      <c r="G12" s="360">
        <f>'10 Finanční analýza (FRR_C)'!G8</f>
        <v>14079788</v>
      </c>
      <c r="H12" s="360">
        <f>'10 Finanční analýza (FRR_C)'!H8</f>
        <v>0</v>
      </c>
      <c r="I12" s="360">
        <f>'10 Finanční analýza (FRR_C)'!I8</f>
        <v>0</v>
      </c>
      <c r="J12" s="360">
        <f>'10 Finanční analýza (FRR_C)'!J8</f>
        <v>0</v>
      </c>
      <c r="K12" s="360">
        <f>'10 Finanční analýza (FRR_C)'!K8</f>
        <v>0</v>
      </c>
      <c r="L12" s="360">
        <f>'10 Finanční analýza (FRR_C)'!L8</f>
        <v>0</v>
      </c>
      <c r="M12" s="360">
        <f>'10 Finanční analýza (FRR_C)'!M8</f>
        <v>0</v>
      </c>
      <c r="N12" s="360">
        <f>'10 Finanční analýza (FRR_C)'!N8</f>
        <v>0</v>
      </c>
      <c r="O12" s="360">
        <f>'10 Finanční analýza (FRR_C)'!O8</f>
        <v>0</v>
      </c>
      <c r="P12" s="360">
        <f>'10 Finanční analýza (FRR_C)'!P8</f>
        <v>0</v>
      </c>
      <c r="Q12" s="360">
        <f>'10 Finanční analýza (FRR_C)'!Q8</f>
        <v>0</v>
      </c>
      <c r="R12" s="360">
        <f>'10 Finanční analýza (FRR_C)'!R8</f>
        <v>0</v>
      </c>
      <c r="S12" s="361">
        <f>'10 Finanční analýza (FRR_C)'!S8</f>
        <v>0</v>
      </c>
      <c r="T12" s="208"/>
      <c r="U12" s="208"/>
      <c r="V12" s="208"/>
      <c r="W12" s="208"/>
      <c r="X12" s="208"/>
      <c r="Y12" s="208"/>
      <c r="Z12" s="208"/>
      <c r="AA12" s="208"/>
      <c r="AB12" s="208"/>
      <c r="AC12" s="208"/>
    </row>
    <row r="13" spans="1:29" ht="14.25" x14ac:dyDescent="0.3">
      <c r="A13" s="1101"/>
      <c r="B13" s="1111"/>
      <c r="C13" s="1116" t="str">
        <f>IF('0 Úvod'!$M$10="English",Slovnik!D685,Slovnik!C685)</f>
        <v>Splácení jistiny úvěru</v>
      </c>
      <c r="D13" s="1126">
        <f t="shared" si="1"/>
        <v>0</v>
      </c>
      <c r="E13" s="2159"/>
      <c r="F13" s="29"/>
      <c r="G13" s="29"/>
      <c r="H13" s="29"/>
      <c r="I13" s="29"/>
      <c r="J13" s="29"/>
      <c r="K13" s="29"/>
      <c r="L13" s="29"/>
      <c r="M13" s="29"/>
      <c r="N13" s="29"/>
      <c r="O13" s="29"/>
      <c r="P13" s="29"/>
      <c r="Q13" s="29"/>
      <c r="R13" s="29"/>
      <c r="S13" s="29"/>
      <c r="T13" s="2149"/>
      <c r="U13" s="208"/>
      <c r="V13" s="208"/>
      <c r="W13" s="208"/>
      <c r="X13" s="208"/>
      <c r="Y13" s="208"/>
      <c r="Z13" s="208"/>
      <c r="AA13" s="208"/>
      <c r="AB13" s="208"/>
      <c r="AC13" s="208"/>
    </row>
    <row r="14" spans="1:29" ht="13.5" customHeight="1" x14ac:dyDescent="0.3">
      <c r="A14" s="1101"/>
      <c r="B14" s="1111"/>
      <c r="C14" s="1116" t="str">
        <f>IF('0 Úvod'!$M$10="English",Slovnik!D686,Slovnik!C686)</f>
        <v>Splácení úroků z úvěru</v>
      </c>
      <c r="D14" s="2160">
        <f t="shared" si="1"/>
        <v>0</v>
      </c>
      <c r="E14" s="2159"/>
      <c r="F14" s="29"/>
      <c r="G14" s="29"/>
      <c r="H14" s="29"/>
      <c r="I14" s="29"/>
      <c r="J14" s="29"/>
      <c r="K14" s="29"/>
      <c r="L14" s="29"/>
      <c r="M14" s="29"/>
      <c r="N14" s="29"/>
      <c r="O14" s="29"/>
      <c r="P14" s="29"/>
      <c r="Q14" s="29"/>
      <c r="R14" s="29"/>
      <c r="S14" s="29"/>
      <c r="T14" s="2149"/>
      <c r="U14" s="208"/>
      <c r="V14" s="208"/>
      <c r="W14" s="208"/>
      <c r="X14" s="208"/>
      <c r="Y14" s="208"/>
      <c r="Z14" s="208"/>
      <c r="AA14" s="208"/>
      <c r="AB14" s="208"/>
      <c r="AC14" s="208"/>
    </row>
    <row r="15" spans="1:29" ht="14.25" x14ac:dyDescent="0.3">
      <c r="A15" s="207"/>
      <c r="B15" s="1107"/>
      <c r="C15" s="1108" t="str">
        <f>IF('0 Úvod'!$M$10="English",Slovnik!D687,Slovnik!C687)</f>
        <v>Celkové výdaje</v>
      </c>
      <c r="D15" s="1049">
        <f t="shared" si="1"/>
        <v>1609599238.2345917</v>
      </c>
      <c r="E15" s="1093">
        <f>SUM(E11:E14)</f>
        <v>96881916.098169893</v>
      </c>
      <c r="F15" s="1094">
        <f t="shared" ref="F15:S15" si="3">SUM(F11:F14)</f>
        <v>655122164.74094987</v>
      </c>
      <c r="G15" s="1094">
        <f t="shared" si="3"/>
        <v>23663356.931236591</v>
      </c>
      <c r="H15" s="1094">
        <f t="shared" si="3"/>
        <v>9714767.6725554578</v>
      </c>
      <c r="I15" s="1094">
        <f t="shared" si="3"/>
        <v>9848635.2351918146</v>
      </c>
      <c r="J15" s="1094">
        <f t="shared" si="3"/>
        <v>9985231.0570045412</v>
      </c>
      <c r="K15" s="1094">
        <f t="shared" si="3"/>
        <v>10124615.928588733</v>
      </c>
      <c r="L15" s="1094">
        <f t="shared" si="3"/>
        <v>10266852.02421142</v>
      </c>
      <c r="M15" s="1094">
        <f t="shared" si="3"/>
        <v>10412002.933455475</v>
      </c>
      <c r="N15" s="1094">
        <f t="shared" si="3"/>
        <v>10560133.693587987</v>
      </c>
      <c r="O15" s="1094">
        <f t="shared" si="3"/>
        <v>10711310.822669638</v>
      </c>
      <c r="P15" s="1094">
        <f t="shared" si="3"/>
        <v>10865602.353422072</v>
      </c>
      <c r="Q15" s="1094">
        <f t="shared" si="3"/>
        <v>11023077.867870625</v>
      </c>
      <c r="R15" s="1094">
        <f t="shared" si="3"/>
        <v>11183808.532780144</v>
      </c>
      <c r="S15" s="1085">
        <f t="shared" si="3"/>
        <v>11347867.13590209</v>
      </c>
      <c r="T15" s="220"/>
      <c r="U15" s="220"/>
      <c r="V15" s="220"/>
      <c r="W15" s="220"/>
      <c r="X15" s="220"/>
      <c r="Y15" s="220"/>
      <c r="Z15" s="220"/>
      <c r="AA15" s="220"/>
      <c r="AB15" s="220"/>
      <c r="AC15" s="220"/>
    </row>
    <row r="16" spans="1:29" ht="14.25" x14ac:dyDescent="0.3">
      <c r="A16" s="207"/>
      <c r="B16" s="1117"/>
      <c r="C16" s="1118" t="str">
        <f>IF('0 Úvod'!$M$10="English",Slovnik!D688,Slovnik!C688)</f>
        <v>Cash Flow pro příslušný rok</v>
      </c>
      <c r="D16" s="1127">
        <f t="shared" si="1"/>
        <v>-730437286.95570385</v>
      </c>
      <c r="E16" s="1135">
        <f t="shared" ref="E16:S16" si="4">E10-E15</f>
        <v>-86484854.854751438</v>
      </c>
      <c r="F16" s="1136">
        <f t="shared" si="4"/>
        <v>-644597564.10095239</v>
      </c>
      <c r="G16" s="1136">
        <f t="shared" si="4"/>
        <v>-6717328</v>
      </c>
      <c r="H16" s="1136">
        <f t="shared" si="4"/>
        <v>0</v>
      </c>
      <c r="I16" s="1136">
        <f t="shared" si="4"/>
        <v>0</v>
      </c>
      <c r="J16" s="1136">
        <f t="shared" si="4"/>
        <v>0</v>
      </c>
      <c r="K16" s="1136">
        <f t="shared" si="4"/>
        <v>0</v>
      </c>
      <c r="L16" s="1136">
        <f t="shared" si="4"/>
        <v>0</v>
      </c>
      <c r="M16" s="1136">
        <f t="shared" si="4"/>
        <v>0</v>
      </c>
      <c r="N16" s="1136">
        <f t="shared" si="4"/>
        <v>0</v>
      </c>
      <c r="O16" s="1136">
        <f t="shared" si="4"/>
        <v>0</v>
      </c>
      <c r="P16" s="1136">
        <f t="shared" si="4"/>
        <v>0</v>
      </c>
      <c r="Q16" s="1136">
        <f t="shared" si="4"/>
        <v>0</v>
      </c>
      <c r="R16" s="1136">
        <f t="shared" si="4"/>
        <v>0</v>
      </c>
      <c r="S16" s="1137">
        <f t="shared" si="4"/>
        <v>0</v>
      </c>
      <c r="T16" s="1104"/>
      <c r="U16" s="1104"/>
      <c r="V16" s="1104"/>
      <c r="W16" s="1104"/>
      <c r="X16" s="1104"/>
      <c r="Y16" s="1104"/>
      <c r="Z16" s="1104"/>
      <c r="AA16" s="1104"/>
      <c r="AB16" s="1104"/>
      <c r="AC16" s="1104"/>
    </row>
    <row r="17" spans="1:29" ht="15" thickBot="1" x14ac:dyDescent="0.35">
      <c r="A17" s="207"/>
      <c r="B17" s="1119"/>
      <c r="C17" s="1120" t="str">
        <f>IF('0 Úvod'!$M$10="English",Slovnik!D689,Slovnik!C689)</f>
        <v xml:space="preserve">Kumulované Cash Flow </v>
      </c>
      <c r="D17" s="1128"/>
      <c r="E17" s="1138">
        <f>E16</f>
        <v>-86484854.854751438</v>
      </c>
      <c r="F17" s="1139">
        <f>F16+E17</f>
        <v>-731082418.95570385</v>
      </c>
      <c r="G17" s="1139">
        <f t="shared" ref="G17:S17" si="5">G16+F17</f>
        <v>-737799746.95570385</v>
      </c>
      <c r="H17" s="1139">
        <f t="shared" si="5"/>
        <v>-737799746.95570385</v>
      </c>
      <c r="I17" s="1139">
        <f t="shared" si="5"/>
        <v>-737799746.95570385</v>
      </c>
      <c r="J17" s="1139">
        <f t="shared" si="5"/>
        <v>-737799746.95570385</v>
      </c>
      <c r="K17" s="1139">
        <f t="shared" si="5"/>
        <v>-737799746.95570385</v>
      </c>
      <c r="L17" s="1139">
        <f t="shared" si="5"/>
        <v>-737799746.95570385</v>
      </c>
      <c r="M17" s="1139">
        <f t="shared" si="5"/>
        <v>-737799746.95570385</v>
      </c>
      <c r="N17" s="1139">
        <f t="shared" si="5"/>
        <v>-737799746.95570385</v>
      </c>
      <c r="O17" s="1139">
        <f t="shared" si="5"/>
        <v>-737799746.95570385</v>
      </c>
      <c r="P17" s="1139">
        <f t="shared" si="5"/>
        <v>-737799746.95570385</v>
      </c>
      <c r="Q17" s="1139">
        <f t="shared" si="5"/>
        <v>-737799746.95570385</v>
      </c>
      <c r="R17" s="1139">
        <f t="shared" si="5"/>
        <v>-737799746.95570385</v>
      </c>
      <c r="S17" s="1140">
        <f t="shared" si="5"/>
        <v>-737799746.95570385</v>
      </c>
      <c r="T17" s="1104"/>
      <c r="U17" s="1104"/>
      <c r="V17" s="1104"/>
      <c r="W17" s="1104"/>
      <c r="X17" s="1104"/>
      <c r="Y17" s="1104"/>
      <c r="Z17" s="1104"/>
      <c r="AA17" s="1104"/>
      <c r="AB17" s="1104"/>
      <c r="AC17" s="1104"/>
    </row>
    <row r="18" spans="1:29" ht="14.25" thickBot="1" x14ac:dyDescent="0.35">
      <c r="A18" s="207"/>
      <c r="E18" s="215"/>
      <c r="F18" s="215"/>
      <c r="G18" s="215"/>
      <c r="H18" s="215"/>
      <c r="I18" s="215"/>
      <c r="J18" s="215"/>
      <c r="K18" s="215"/>
      <c r="L18" s="215"/>
      <c r="M18" s="215"/>
      <c r="N18" s="215"/>
      <c r="O18" s="215"/>
      <c r="P18" s="215"/>
      <c r="Q18" s="215"/>
      <c r="R18" s="215"/>
      <c r="S18" s="215"/>
      <c r="T18" s="208"/>
      <c r="U18" s="208"/>
      <c r="V18" s="208"/>
      <c r="W18" s="208"/>
      <c r="X18" s="208"/>
      <c r="Y18" s="208"/>
      <c r="Z18" s="208"/>
      <c r="AA18" s="208"/>
      <c r="AB18" s="208"/>
      <c r="AC18" s="208"/>
    </row>
    <row r="19" spans="1:29" s="207" customFormat="1" ht="14.25" x14ac:dyDescent="0.3">
      <c r="B19" s="993" t="s">
        <v>177</v>
      </c>
      <c r="C19" s="209" t="str">
        <f>C2</f>
        <v>Udržitelnost projektu (CZK)</v>
      </c>
      <c r="D19" s="994"/>
      <c r="E19" s="2323">
        <f>S2+1</f>
        <v>2036</v>
      </c>
      <c r="F19" s="2323">
        <f t="shared" ref="F19:S19" si="6">E19+1</f>
        <v>2037</v>
      </c>
      <c r="G19" s="2323">
        <f t="shared" si="6"/>
        <v>2038</v>
      </c>
      <c r="H19" s="2323">
        <f t="shared" si="6"/>
        <v>2039</v>
      </c>
      <c r="I19" s="2323">
        <f t="shared" si="6"/>
        <v>2040</v>
      </c>
      <c r="J19" s="2323">
        <f t="shared" si="6"/>
        <v>2041</v>
      </c>
      <c r="K19" s="2323">
        <f t="shared" si="6"/>
        <v>2042</v>
      </c>
      <c r="L19" s="2323">
        <f t="shared" si="6"/>
        <v>2043</v>
      </c>
      <c r="M19" s="2323">
        <f t="shared" si="6"/>
        <v>2044</v>
      </c>
      <c r="N19" s="2323">
        <f t="shared" si="6"/>
        <v>2045</v>
      </c>
      <c r="O19" s="2323">
        <f t="shared" si="6"/>
        <v>2046</v>
      </c>
      <c r="P19" s="2323">
        <f t="shared" si="6"/>
        <v>2047</v>
      </c>
      <c r="Q19" s="2323">
        <f t="shared" si="6"/>
        <v>2048</v>
      </c>
      <c r="R19" s="2323">
        <f t="shared" si="6"/>
        <v>2049</v>
      </c>
      <c r="S19" s="2329">
        <f t="shared" si="6"/>
        <v>2050</v>
      </c>
      <c r="T19" s="978"/>
      <c r="U19" s="978"/>
      <c r="V19" s="978"/>
      <c r="W19" s="978"/>
      <c r="X19" s="978"/>
      <c r="Y19" s="978"/>
      <c r="Z19" s="978"/>
      <c r="AA19" s="978"/>
      <c r="AB19" s="978"/>
      <c r="AC19" s="978"/>
    </row>
    <row r="20" spans="1:29" s="207" customFormat="1" ht="15" thickBot="1" x14ac:dyDescent="0.35">
      <c r="A20" s="1101"/>
      <c r="B20" s="1045" t="s">
        <v>24</v>
      </c>
      <c r="C20" s="1739" t="str">
        <f t="shared" ref="C20:C34" si="7">C3</f>
        <v>Stálé ceny</v>
      </c>
      <c r="D20" s="1395"/>
      <c r="E20" s="2662"/>
      <c r="F20" s="2662"/>
      <c r="G20" s="2662"/>
      <c r="H20" s="2662"/>
      <c r="I20" s="2662"/>
      <c r="J20" s="2662"/>
      <c r="K20" s="2662"/>
      <c r="L20" s="2662"/>
      <c r="M20" s="2662"/>
      <c r="N20" s="2662"/>
      <c r="O20" s="2662"/>
      <c r="P20" s="2662"/>
      <c r="Q20" s="2662"/>
      <c r="R20" s="2662"/>
      <c r="S20" s="2663"/>
      <c r="T20" s="978"/>
      <c r="U20" s="978"/>
      <c r="V20" s="978"/>
      <c r="W20" s="978"/>
      <c r="X20" s="978"/>
      <c r="Y20" s="978"/>
      <c r="Z20" s="978"/>
      <c r="AA20" s="978"/>
      <c r="AB20" s="978"/>
      <c r="AC20" s="978"/>
    </row>
    <row r="21" spans="1:29" ht="14.25" x14ac:dyDescent="0.3">
      <c r="A21" s="1101"/>
      <c r="B21" s="1111"/>
      <c r="C21" s="1007" t="str">
        <f t="shared" si="7"/>
        <v>Provozní příjmy</v>
      </c>
      <c r="D21" s="1121"/>
      <c r="E21" s="1129">
        <f>'8 Příjmy'!E14</f>
        <v>0</v>
      </c>
      <c r="F21" s="1130">
        <f>'8 Příjmy'!F14</f>
        <v>0</v>
      </c>
      <c r="G21" s="1130">
        <f>'8 Příjmy'!G14</f>
        <v>0</v>
      </c>
      <c r="H21" s="1130">
        <f>'8 Příjmy'!H14</f>
        <v>0</v>
      </c>
      <c r="I21" s="1130">
        <f>'8 Příjmy'!I14</f>
        <v>0</v>
      </c>
      <c r="J21" s="1130">
        <f>'8 Příjmy'!J14</f>
        <v>0</v>
      </c>
      <c r="K21" s="1130">
        <f>'8 Příjmy'!K14</f>
        <v>0</v>
      </c>
      <c r="L21" s="1130">
        <f>'8 Příjmy'!L14</f>
        <v>0</v>
      </c>
      <c r="M21" s="1130">
        <f>'8 Příjmy'!M14</f>
        <v>0</v>
      </c>
      <c r="N21" s="1130">
        <f>'8 Příjmy'!N14</f>
        <v>0</v>
      </c>
      <c r="O21" s="1130">
        <f>'8 Příjmy'!O14</f>
        <v>0</v>
      </c>
      <c r="P21" s="1130">
        <f>'8 Příjmy'!P14</f>
        <v>0</v>
      </c>
      <c r="Q21" s="1130">
        <f>'8 Příjmy'!Q14</f>
        <v>7362460</v>
      </c>
      <c r="R21" s="1130">
        <f>'8 Příjmy'!R14</f>
        <v>0</v>
      </c>
      <c r="S21" s="1131">
        <f>'8 Příjmy'!S14</f>
        <v>0</v>
      </c>
      <c r="T21" s="1102"/>
      <c r="U21" s="1102"/>
      <c r="V21" s="1102"/>
      <c r="W21" s="1102"/>
      <c r="X21" s="1102"/>
      <c r="Y21" s="1102"/>
      <c r="Z21" s="1102"/>
      <c r="AA21" s="1102"/>
      <c r="AB21" s="1102"/>
      <c r="AC21" s="1102"/>
    </row>
    <row r="22" spans="1:29" ht="14.25" x14ac:dyDescent="0.3">
      <c r="A22" s="1101"/>
      <c r="B22" s="1111"/>
      <c r="C22" s="59" t="str">
        <f t="shared" si="7"/>
        <v>Úvěry</v>
      </c>
      <c r="D22" s="1122"/>
      <c r="E22" s="1132">
        <f>'15 Finanční struktura'!E22</f>
        <v>0</v>
      </c>
      <c r="F22" s="1133">
        <f>'15 Finanční struktura'!F22</f>
        <v>0</v>
      </c>
      <c r="G22" s="1133">
        <f>'15 Finanční struktura'!G22</f>
        <v>0</v>
      </c>
      <c r="H22" s="1133">
        <f>'15 Finanční struktura'!H22</f>
        <v>0</v>
      </c>
      <c r="I22" s="1133">
        <f>'15 Finanční struktura'!I22</f>
        <v>0</v>
      </c>
      <c r="J22" s="1133">
        <f>'15 Finanční struktura'!J22</f>
        <v>0</v>
      </c>
      <c r="K22" s="1133">
        <f>'15 Finanční struktura'!K22</f>
        <v>0</v>
      </c>
      <c r="L22" s="1133">
        <f>'15 Finanční struktura'!L22</f>
        <v>0</v>
      </c>
      <c r="M22" s="1133">
        <f>'15 Finanční struktura'!M22</f>
        <v>0</v>
      </c>
      <c r="N22" s="1133">
        <f>'15 Finanční struktura'!N22</f>
        <v>0</v>
      </c>
      <c r="O22" s="1133">
        <f>'15 Finanční struktura'!O22</f>
        <v>0</v>
      </c>
      <c r="P22" s="1133">
        <f>'15 Finanční struktura'!P22</f>
        <v>0</v>
      </c>
      <c r="Q22" s="1133">
        <f>'15 Finanční struktura'!Q22</f>
        <v>0</v>
      </c>
      <c r="R22" s="1133">
        <f>'15 Finanční struktura'!R22</f>
        <v>0</v>
      </c>
      <c r="S22" s="1134">
        <f>'15 Finanční struktura'!S22</f>
        <v>0</v>
      </c>
      <c r="T22" s="1102"/>
      <c r="U22" s="1102"/>
      <c r="V22" s="1102"/>
      <c r="W22" s="1102"/>
      <c r="X22" s="1102"/>
      <c r="Y22" s="1102"/>
      <c r="Z22" s="1102"/>
      <c r="AA22" s="1102"/>
      <c r="AB22" s="1102"/>
      <c r="AC22" s="1102"/>
    </row>
    <row r="23" spans="1:29" ht="14.25" x14ac:dyDescent="0.3">
      <c r="A23" s="1101"/>
      <c r="B23" s="1111"/>
      <c r="C23" s="59" t="str">
        <f t="shared" si="7"/>
        <v>Celkové zdroje žadatele</v>
      </c>
      <c r="D23" s="1122"/>
      <c r="E23" s="1132">
        <f>'15 Finanční struktura'!E21</f>
        <v>0</v>
      </c>
      <c r="F23" s="1133">
        <f>'15 Finanční struktura'!F21</f>
        <v>0</v>
      </c>
      <c r="G23" s="1133">
        <f>'15 Finanční struktura'!G21</f>
        <v>0</v>
      </c>
      <c r="H23" s="1133">
        <f>'15 Finanční struktura'!H21</f>
        <v>0</v>
      </c>
      <c r="I23" s="1133">
        <f>'15 Finanční struktura'!I21</f>
        <v>0</v>
      </c>
      <c r="J23" s="1133">
        <f>'15 Finanční struktura'!J21</f>
        <v>0</v>
      </c>
      <c r="K23" s="1133">
        <f>'15 Finanční struktura'!K21</f>
        <v>0</v>
      </c>
      <c r="L23" s="1133">
        <f>'15 Finanční struktura'!L21</f>
        <v>0</v>
      </c>
      <c r="M23" s="1133">
        <f>'15 Finanční struktura'!M21</f>
        <v>0</v>
      </c>
      <c r="N23" s="1133">
        <f>'15 Finanční struktura'!N21</f>
        <v>0</v>
      </c>
      <c r="O23" s="1133">
        <f>'15 Finanční struktura'!O21</f>
        <v>0</v>
      </c>
      <c r="P23" s="1133">
        <f>'15 Finanční struktura'!P21</f>
        <v>0</v>
      </c>
      <c r="Q23" s="1133">
        <f>'15 Finanční struktura'!Q21</f>
        <v>0</v>
      </c>
      <c r="R23" s="1133">
        <f>'15 Finanční struktura'!R21</f>
        <v>0</v>
      </c>
      <c r="S23" s="1134">
        <f>'15 Finanční struktura'!S21</f>
        <v>0</v>
      </c>
      <c r="T23" s="1102"/>
      <c r="U23" s="1102"/>
      <c r="V23" s="1102"/>
      <c r="W23" s="1102"/>
      <c r="X23" s="1102"/>
      <c r="Y23" s="1102"/>
      <c r="Z23" s="1102"/>
      <c r="AA23" s="1102"/>
      <c r="AB23" s="1102"/>
      <c r="AC23" s="1102"/>
    </row>
    <row r="24" spans="1:29" ht="14.25" x14ac:dyDescent="0.3">
      <c r="A24" s="1101"/>
      <c r="B24" s="1111"/>
      <c r="C24" s="1112" t="str">
        <f t="shared" si="7"/>
        <v>Zdroje státního rozpočtu</v>
      </c>
      <c r="D24" s="1122"/>
      <c r="E24" s="1132">
        <f>'15 Finanční struktura'!E23</f>
        <v>0</v>
      </c>
      <c r="F24" s="1133">
        <f>'15 Finanční struktura'!F23</f>
        <v>0</v>
      </c>
      <c r="G24" s="1133">
        <f>'15 Finanční struktura'!G23</f>
        <v>0</v>
      </c>
      <c r="H24" s="1133">
        <f>'15 Finanční struktura'!H23</f>
        <v>0</v>
      </c>
      <c r="I24" s="1133">
        <f>'15 Finanční struktura'!I23</f>
        <v>0</v>
      </c>
      <c r="J24" s="1133">
        <f>'15 Finanční struktura'!J23</f>
        <v>0</v>
      </c>
      <c r="K24" s="1133">
        <f>'15 Finanční struktura'!K23</f>
        <v>0</v>
      </c>
      <c r="L24" s="1133">
        <f>'15 Finanční struktura'!L23</f>
        <v>0</v>
      </c>
      <c r="M24" s="1133">
        <f>'15 Finanční struktura'!M23</f>
        <v>0</v>
      </c>
      <c r="N24" s="1133">
        <f>'15 Finanční struktura'!N23</f>
        <v>0</v>
      </c>
      <c r="O24" s="1133">
        <f>'15 Finanční struktura'!O23</f>
        <v>0</v>
      </c>
      <c r="P24" s="1133">
        <f>'15 Finanční struktura'!P23</f>
        <v>0</v>
      </c>
      <c r="Q24" s="1133">
        <f>'15 Finanční struktura'!Q23</f>
        <v>0</v>
      </c>
      <c r="R24" s="1133">
        <f>'15 Finanční struktura'!R23</f>
        <v>0</v>
      </c>
      <c r="S24" s="1134">
        <f>'15 Finanční struktura'!S23</f>
        <v>0</v>
      </c>
      <c r="T24" s="1102"/>
      <c r="U24" s="1102"/>
      <c r="V24" s="1102"/>
      <c r="W24" s="1102"/>
      <c r="X24" s="1102"/>
      <c r="Y24" s="1102"/>
      <c r="Z24" s="1102"/>
      <c r="AA24" s="1102"/>
      <c r="AB24" s="1102"/>
      <c r="AC24" s="1102"/>
    </row>
    <row r="25" spans="1:29" ht="14.25" x14ac:dyDescent="0.3">
      <c r="A25" s="1101" t="s">
        <v>2</v>
      </c>
      <c r="B25" s="1111"/>
      <c r="C25" s="1113" t="str">
        <f t="shared" si="7"/>
        <v>Granty EU</v>
      </c>
      <c r="D25" s="290"/>
      <c r="E25" s="359">
        <f>'15 Finanční struktura'!E25</f>
        <v>0</v>
      </c>
      <c r="F25" s="360">
        <f>'15 Finanční struktura'!F25</f>
        <v>0</v>
      </c>
      <c r="G25" s="360">
        <f>'15 Finanční struktura'!G25</f>
        <v>0</v>
      </c>
      <c r="H25" s="360">
        <f>'15 Finanční struktura'!H25</f>
        <v>0</v>
      </c>
      <c r="I25" s="360">
        <f>'15 Finanční struktura'!I25</f>
        <v>0</v>
      </c>
      <c r="J25" s="360">
        <f>'15 Finanční struktura'!J25</f>
        <v>0</v>
      </c>
      <c r="K25" s="360">
        <f>'15 Finanční struktura'!K25</f>
        <v>0</v>
      </c>
      <c r="L25" s="360">
        <f>'15 Finanční struktura'!L25</f>
        <v>0</v>
      </c>
      <c r="M25" s="360">
        <f>'15 Finanční struktura'!M25</f>
        <v>0</v>
      </c>
      <c r="N25" s="360">
        <f>'15 Finanční struktura'!N25</f>
        <v>0</v>
      </c>
      <c r="O25" s="360">
        <f>'15 Finanční struktura'!O25</f>
        <v>0</v>
      </c>
      <c r="P25" s="360">
        <f>'15 Finanční struktura'!P25</f>
        <v>0</v>
      </c>
      <c r="Q25" s="360">
        <f>'15 Finanční struktura'!Q25</f>
        <v>0</v>
      </c>
      <c r="R25" s="360">
        <f>'15 Finanční struktura'!R25</f>
        <v>0</v>
      </c>
      <c r="S25" s="361">
        <f>'15 Finanční struktura'!S25</f>
        <v>0</v>
      </c>
      <c r="T25" s="208"/>
      <c r="U25" s="208"/>
      <c r="V25" s="208"/>
      <c r="W25" s="208"/>
      <c r="X25" s="208"/>
      <c r="Y25" s="208"/>
      <c r="Z25" s="208"/>
      <c r="AA25" s="208"/>
      <c r="AB25" s="208"/>
      <c r="AC25" s="208"/>
    </row>
    <row r="26" spans="1:29" ht="14.25" x14ac:dyDescent="0.3">
      <c r="A26" s="1101"/>
      <c r="B26" s="1111"/>
      <c r="C26" s="1113" t="str">
        <f t="shared" si="7"/>
        <v>Dotace</v>
      </c>
      <c r="D26" s="290"/>
      <c r="E26" s="359">
        <f>IF('10 Finanční analýza (FRR_C)'!$S$29="SILNIČNÍ",0,'13 Kontrola dotací'!E14)</f>
        <v>11515328.123051455</v>
      </c>
      <c r="F26" s="360">
        <f>IF('10 Finanční analýza (FRR_C)'!$S$29="SILNIČNÍ",0,'13 Kontrola dotací'!F14)</f>
        <v>11686267.63603255</v>
      </c>
      <c r="G26" s="360">
        <f>IF('10 Finanční analýza (FRR_C)'!$S$29="SILNIČNÍ",0,'13 Kontrola dotací'!G14)</f>
        <v>11860763.551433047</v>
      </c>
      <c r="H26" s="360">
        <f>IF('10 Finanční analýza (FRR_C)'!$S$29="SILNIČNÍ",0,'13 Kontrola dotací'!H14)</f>
        <v>12038895.520306213</v>
      </c>
      <c r="I26" s="360">
        <f>IF('10 Finanční analýza (FRR_C)'!$S$29="SILNIČNÍ",0,'13 Kontrola dotací'!I14)</f>
        <v>12220745.008761626</v>
      </c>
      <c r="J26" s="360">
        <f>IF('10 Finanční analýza (FRR_C)'!$S$29="SILNIČNÍ",0,'13 Kontrola dotací'!J14)</f>
        <v>12406395.339485183</v>
      </c>
      <c r="K26" s="360">
        <f>IF('10 Finanční analýza (FRR_C)'!$S$29="SILNIČNÍ",0,'13 Kontrola dotací'!K14)</f>
        <v>12595931.73420975</v>
      </c>
      <c r="L26" s="360">
        <f>IF('10 Finanční analýza (FRR_C)'!$S$29="SILNIČNÍ",0,'13 Kontrola dotací'!L14)</f>
        <v>20124479.382886745</v>
      </c>
      <c r="M26" s="360">
        <f>IF('10 Finanční analýza (FRR_C)'!$S$29="SILNIČNÍ",0,'13 Kontrola dotací'!M14)</f>
        <v>12987013.359480426</v>
      </c>
      <c r="N26" s="360">
        <f>IF('10 Finanční analýza (FRR_C)'!$S$29="SILNIČNÍ",0,'13 Kontrola dotací'!N14)</f>
        <v>13188738.92470949</v>
      </c>
      <c r="O26" s="360">
        <f>IF('10 Finanční analýza (FRR_C)'!$S$29="SILNIČNÍ",0,'13 Kontrola dotací'!O14)</f>
        <v>13394711.315256106</v>
      </c>
      <c r="P26" s="360">
        <f>IF('10 Finanční analýza (FRR_C)'!$S$29="SILNIČNÍ",0,'13 Kontrola dotací'!P14)</f>
        <v>13605025.919969413</v>
      </c>
      <c r="Q26" s="360">
        <f>IF('10 Finanční analýza (FRR_C)'!$S$29="SILNIČNÍ",0,'13 Kontrola dotací'!Q14)</f>
        <v>383603049.50849938</v>
      </c>
      <c r="R26" s="360">
        <f>IF('10 Finanční analýza (FRR_C)'!$S$29="SILNIČNÍ",0,'13 Kontrola dotací'!R14)</f>
        <v>14039074.252492547</v>
      </c>
      <c r="S26" s="361">
        <f>IF('10 Finanční analýza (FRR_C)'!$S$29="SILNIČNÍ",0,'13 Kontrola dotací'!S14)</f>
        <v>152621475.63042131</v>
      </c>
      <c r="T26" s="208"/>
      <c r="U26" s="208"/>
      <c r="V26" s="208"/>
      <c r="W26" s="208"/>
      <c r="X26" s="208"/>
      <c r="Y26" s="208"/>
      <c r="Z26" s="208"/>
      <c r="AA26" s="208"/>
      <c r="AB26" s="208"/>
      <c r="AC26" s="208"/>
    </row>
    <row r="27" spans="1:29" ht="14.25" x14ac:dyDescent="0.3">
      <c r="A27" s="1109"/>
      <c r="B27" s="1110"/>
      <c r="C27" s="1108" t="str">
        <f t="shared" si="7"/>
        <v>Celkové příjmy</v>
      </c>
      <c r="D27" s="1094"/>
      <c r="E27" s="1093">
        <f>SUM(E21:E26)</f>
        <v>11515328.123051455</v>
      </c>
      <c r="F27" s="1094">
        <f t="shared" ref="F27:S27" si="8">SUM(F21:F26)</f>
        <v>11686267.63603255</v>
      </c>
      <c r="G27" s="1094">
        <f t="shared" si="8"/>
        <v>11860763.551433047</v>
      </c>
      <c r="H27" s="1094">
        <f t="shared" si="8"/>
        <v>12038895.520306213</v>
      </c>
      <c r="I27" s="1094">
        <f t="shared" si="8"/>
        <v>12220745.008761626</v>
      </c>
      <c r="J27" s="1094">
        <f t="shared" si="8"/>
        <v>12406395.339485183</v>
      </c>
      <c r="K27" s="1094">
        <f t="shared" si="8"/>
        <v>12595931.73420975</v>
      </c>
      <c r="L27" s="1094">
        <f t="shared" si="8"/>
        <v>20124479.382886745</v>
      </c>
      <c r="M27" s="1094">
        <f t="shared" si="8"/>
        <v>12987013.359480426</v>
      </c>
      <c r="N27" s="1094">
        <f t="shared" si="8"/>
        <v>13188738.92470949</v>
      </c>
      <c r="O27" s="1094">
        <f t="shared" si="8"/>
        <v>13394711.315256106</v>
      </c>
      <c r="P27" s="1094">
        <f t="shared" si="8"/>
        <v>13605025.919969413</v>
      </c>
      <c r="Q27" s="1094">
        <f t="shared" si="8"/>
        <v>390965509.50849938</v>
      </c>
      <c r="R27" s="1094">
        <f t="shared" si="8"/>
        <v>14039074.252492547</v>
      </c>
      <c r="S27" s="1085">
        <f t="shared" si="8"/>
        <v>152621475.63042131</v>
      </c>
      <c r="T27" s="220"/>
      <c r="U27" s="220"/>
      <c r="V27" s="220"/>
      <c r="W27" s="220"/>
      <c r="X27" s="220"/>
      <c r="Y27" s="220"/>
      <c r="Z27" s="220"/>
      <c r="AA27" s="220"/>
      <c r="AB27" s="220"/>
      <c r="AC27" s="220"/>
    </row>
    <row r="28" spans="1:29" ht="14.25" x14ac:dyDescent="0.3">
      <c r="A28" s="1101"/>
      <c r="B28" s="1111"/>
      <c r="C28" s="1114" t="str">
        <f t="shared" si="7"/>
        <v>Celkové provozní náklady</v>
      </c>
      <c r="D28" s="290"/>
      <c r="E28" s="359">
        <f>IF(OR('10 Finanční analýza (FRR_C)'!$S$30="MHD",'10 Finanční analýza (FRR_C)'!$S$30="MHD (vč. MĚSTSKÝ BUS)"),'3 PN infrastruktury'!E26+'4 PN vozidel'!E24,'3 PN infrastruktury'!E26)</f>
        <v>11515328.123051455</v>
      </c>
      <c r="F28" s="360">
        <f>IF(OR('10 Finanční analýza (FRR_C)'!$S$30="MHD",'10 Finanční analýza (FRR_C)'!$S$30="MHD (vč. MĚSTSKÝ BUS)"),'3 PN infrastruktury'!F26+'4 PN vozidel'!F24,'3 PN infrastruktury'!F26)</f>
        <v>11686267.63603255</v>
      </c>
      <c r="G28" s="360">
        <f>IF(OR('10 Finanční analýza (FRR_C)'!$S$30="MHD",'10 Finanční analýza (FRR_C)'!$S$30="MHD (vč. MĚSTSKÝ BUS)"),'3 PN infrastruktury'!G26+'4 PN vozidel'!G24,'3 PN infrastruktury'!G26)</f>
        <v>11860763.551433047</v>
      </c>
      <c r="H28" s="360">
        <f>IF(OR('10 Finanční analýza (FRR_C)'!$S$30="MHD",'10 Finanční analýza (FRR_C)'!$S$30="MHD (vč. MĚSTSKÝ BUS)"),'3 PN infrastruktury'!H26+'4 PN vozidel'!H24,'3 PN infrastruktury'!H26)</f>
        <v>12038895.520306213</v>
      </c>
      <c r="I28" s="360">
        <f>IF(OR('10 Finanční analýza (FRR_C)'!$S$30="MHD",'10 Finanční analýza (FRR_C)'!$S$30="MHD (vč. MĚSTSKÝ BUS)"),'3 PN infrastruktury'!I26+'4 PN vozidel'!I24,'3 PN infrastruktury'!I26)</f>
        <v>12220745.008761626</v>
      </c>
      <c r="J28" s="360">
        <f>IF(OR('10 Finanční analýza (FRR_C)'!$S$30="MHD",'10 Finanční analýza (FRR_C)'!$S$30="MHD (vč. MĚSTSKÝ BUS)"),'3 PN infrastruktury'!J26+'4 PN vozidel'!J24,'3 PN infrastruktury'!J26)</f>
        <v>12406395.339485183</v>
      </c>
      <c r="K28" s="360">
        <f>IF(OR('10 Finanční analýza (FRR_C)'!$S$30="MHD",'10 Finanční analýza (FRR_C)'!$S$30="MHD (vč. MĚSTSKÝ BUS)"),'3 PN infrastruktury'!K26+'4 PN vozidel'!K24,'3 PN infrastruktury'!K26)</f>
        <v>12595931.73420975</v>
      </c>
      <c r="L28" s="360">
        <f>IF(OR('10 Finanční analýza (FRR_C)'!$S$30="MHD",'10 Finanční analýza (FRR_C)'!$S$30="MHD (vč. MĚSTSKÝ BUS)"),'3 PN infrastruktury'!L26+'4 PN vozidel'!L24,'3 PN infrastruktury'!L26)</f>
        <v>20124479.382886745</v>
      </c>
      <c r="M28" s="360">
        <f>IF(OR('10 Finanční analýza (FRR_C)'!$S$30="MHD",'10 Finanční analýza (FRR_C)'!$S$30="MHD (vč. MĚSTSKÝ BUS)"),'3 PN infrastruktury'!M26+'4 PN vozidel'!M24,'3 PN infrastruktury'!M26)</f>
        <v>12987013.359480426</v>
      </c>
      <c r="N28" s="360">
        <f>IF(OR('10 Finanční analýza (FRR_C)'!$S$30="MHD",'10 Finanční analýza (FRR_C)'!$S$30="MHD (vč. MĚSTSKÝ BUS)"),'3 PN infrastruktury'!N26+'4 PN vozidel'!N24,'3 PN infrastruktury'!N26)</f>
        <v>13188738.92470949</v>
      </c>
      <c r="O28" s="360">
        <f>IF(OR('10 Finanční analýza (FRR_C)'!$S$30="MHD",'10 Finanční analýza (FRR_C)'!$S$30="MHD (vč. MĚSTSKÝ BUS)"),'3 PN infrastruktury'!O26+'4 PN vozidel'!O24,'3 PN infrastruktury'!O26)</f>
        <v>13394711.315256106</v>
      </c>
      <c r="P28" s="360">
        <f>IF(OR('10 Finanční analýza (FRR_C)'!$S$30="MHD",'10 Finanční analýza (FRR_C)'!$S$30="MHD (vč. MĚSTSKÝ BUS)"),'3 PN infrastruktury'!P26+'4 PN vozidel'!P24,'3 PN infrastruktury'!P26)</f>
        <v>13605025.919969413</v>
      </c>
      <c r="Q28" s="360">
        <f>IF(OR('10 Finanční analýza (FRR_C)'!$S$30="MHD",'10 Finanční analýza (FRR_C)'!$S$30="MHD (vč. MĚSTSKÝ BUS)"),'3 PN infrastruktury'!Q26+'4 PN vozidel'!Q24,'3 PN infrastruktury'!Q26)</f>
        <v>383603049.50849938</v>
      </c>
      <c r="R28" s="360">
        <f>IF(OR('10 Finanční analýza (FRR_C)'!$S$30="MHD",'10 Finanční analýza (FRR_C)'!$S$30="MHD (vč. MĚSTSKÝ BUS)"),'3 PN infrastruktury'!R26+'4 PN vozidel'!R24,'3 PN infrastruktury'!R26)</f>
        <v>14039074.252492547</v>
      </c>
      <c r="S28" s="361">
        <f>IF(OR('10 Finanční analýza (FRR_C)'!$S$30="MHD",'10 Finanční analýza (FRR_C)'!$S$30="MHD (vč. MĚSTSKÝ BUS)"),'3 PN infrastruktury'!S26+'4 PN vozidel'!S24,'3 PN infrastruktury'!S26)</f>
        <v>152621475.63042131</v>
      </c>
      <c r="T28" s="208"/>
      <c r="U28" s="208"/>
      <c r="V28" s="208"/>
      <c r="W28" s="208"/>
      <c r="X28" s="208"/>
      <c r="Y28" s="208"/>
      <c r="Z28" s="208"/>
      <c r="AA28" s="208"/>
      <c r="AB28" s="208"/>
      <c r="AC28" s="208"/>
    </row>
    <row r="29" spans="1:29" ht="14.25" x14ac:dyDescent="0.3">
      <c r="A29" s="1101"/>
      <c r="B29" s="1111"/>
      <c r="C29" s="1115" t="str">
        <f t="shared" si="7"/>
        <v>Celkové investiční náklady</v>
      </c>
      <c r="D29" s="290"/>
      <c r="E29" s="359">
        <f>'10 Finanční analýza (FRR_C)'!E21</f>
        <v>0</v>
      </c>
      <c r="F29" s="360">
        <f>'10 Finanční analýza (FRR_C)'!F21</f>
        <v>0</v>
      </c>
      <c r="G29" s="360">
        <f>'10 Finanční analýza (FRR_C)'!G21</f>
        <v>0</v>
      </c>
      <c r="H29" s="360">
        <f>'10 Finanční analýza (FRR_C)'!H21</f>
        <v>0</v>
      </c>
      <c r="I29" s="360">
        <f>'10 Finanční analýza (FRR_C)'!I21</f>
        <v>0</v>
      </c>
      <c r="J29" s="360">
        <f>'10 Finanční analýza (FRR_C)'!J21</f>
        <v>0</v>
      </c>
      <c r="K29" s="360">
        <f>'10 Finanční analýza (FRR_C)'!K21</f>
        <v>0</v>
      </c>
      <c r="L29" s="360">
        <f>'10 Finanční analýza (FRR_C)'!L21</f>
        <v>0</v>
      </c>
      <c r="M29" s="360">
        <f>'10 Finanční analýza (FRR_C)'!M21</f>
        <v>0</v>
      </c>
      <c r="N29" s="360">
        <f>'10 Finanční analýza (FRR_C)'!N21</f>
        <v>0</v>
      </c>
      <c r="O29" s="360">
        <f>'10 Finanční analýza (FRR_C)'!O21</f>
        <v>0</v>
      </c>
      <c r="P29" s="360">
        <f>'10 Finanční analýza (FRR_C)'!P21</f>
        <v>0</v>
      </c>
      <c r="Q29" s="360">
        <f>'10 Finanční analýza (FRR_C)'!Q21</f>
        <v>0</v>
      </c>
      <c r="R29" s="360">
        <f>'10 Finanční analýza (FRR_C)'!R21</f>
        <v>0</v>
      </c>
      <c r="S29" s="361">
        <f>'10 Finanční analýza (FRR_C)'!S21</f>
        <v>0</v>
      </c>
      <c r="T29" s="208"/>
      <c r="U29" s="208"/>
      <c r="V29" s="208"/>
      <c r="W29" s="208"/>
      <c r="X29" s="208"/>
      <c r="Y29" s="208"/>
      <c r="Z29" s="208"/>
      <c r="AA29" s="208"/>
      <c r="AB29" s="208"/>
      <c r="AC29" s="208"/>
    </row>
    <row r="30" spans="1:29" ht="14.25" x14ac:dyDescent="0.3">
      <c r="A30" s="1101"/>
      <c r="B30" s="1111"/>
      <c r="C30" s="1116" t="str">
        <f t="shared" si="7"/>
        <v>Splácení jistiny úvěru</v>
      </c>
      <c r="D30" s="255"/>
      <c r="E30" s="29"/>
      <c r="F30" s="29"/>
      <c r="G30" s="29"/>
      <c r="H30" s="29"/>
      <c r="I30" s="29"/>
      <c r="J30" s="29"/>
      <c r="K30" s="29"/>
      <c r="L30" s="29"/>
      <c r="M30" s="29"/>
      <c r="N30" s="29"/>
      <c r="O30" s="29"/>
      <c r="P30" s="29"/>
      <c r="Q30" s="29"/>
      <c r="R30" s="29"/>
      <c r="S30" s="29"/>
      <c r="T30" s="2149"/>
      <c r="U30" s="208"/>
      <c r="V30" s="208"/>
      <c r="W30" s="208"/>
      <c r="X30" s="208"/>
      <c r="Y30" s="208"/>
      <c r="Z30" s="208"/>
      <c r="AA30" s="208"/>
      <c r="AB30" s="208"/>
      <c r="AC30" s="208"/>
    </row>
    <row r="31" spans="1:29" ht="12" customHeight="1" x14ac:dyDescent="0.3">
      <c r="A31" s="1101"/>
      <c r="B31" s="1111"/>
      <c r="C31" s="1116" t="str">
        <f t="shared" si="7"/>
        <v>Splácení úroků z úvěru</v>
      </c>
      <c r="D31" s="1937"/>
      <c r="E31" s="29"/>
      <c r="F31" s="29"/>
      <c r="G31" s="29"/>
      <c r="H31" s="29"/>
      <c r="I31" s="29"/>
      <c r="J31" s="29"/>
      <c r="K31" s="29"/>
      <c r="L31" s="29"/>
      <c r="M31" s="29"/>
      <c r="N31" s="29"/>
      <c r="O31" s="29"/>
      <c r="P31" s="29"/>
      <c r="Q31" s="29"/>
      <c r="R31" s="29"/>
      <c r="S31" s="29"/>
      <c r="T31" s="2149"/>
      <c r="U31" s="208"/>
      <c r="V31" s="208"/>
      <c r="W31" s="208"/>
      <c r="X31" s="208"/>
      <c r="Y31" s="208"/>
      <c r="Z31" s="208"/>
      <c r="AA31" s="208"/>
      <c r="AB31" s="208"/>
      <c r="AC31" s="208"/>
    </row>
    <row r="32" spans="1:29" ht="14.25" x14ac:dyDescent="0.3">
      <c r="A32" s="207"/>
      <c r="B32" s="1107"/>
      <c r="C32" s="1108" t="str">
        <f t="shared" si="7"/>
        <v>Celkové výdaje</v>
      </c>
      <c r="D32" s="1094"/>
      <c r="E32" s="1093">
        <f>SUM(E28:E31)</f>
        <v>11515328.123051455</v>
      </c>
      <c r="F32" s="1094">
        <f t="shared" ref="F32:S32" si="9">SUM(F28:F31)</f>
        <v>11686267.63603255</v>
      </c>
      <c r="G32" s="1094">
        <f t="shared" si="9"/>
        <v>11860763.551433047</v>
      </c>
      <c r="H32" s="1094">
        <f t="shared" si="9"/>
        <v>12038895.520306213</v>
      </c>
      <c r="I32" s="1094">
        <f t="shared" si="9"/>
        <v>12220745.008761626</v>
      </c>
      <c r="J32" s="1094">
        <f t="shared" si="9"/>
        <v>12406395.339485183</v>
      </c>
      <c r="K32" s="1094">
        <f t="shared" si="9"/>
        <v>12595931.73420975</v>
      </c>
      <c r="L32" s="1094">
        <f t="shared" si="9"/>
        <v>20124479.382886745</v>
      </c>
      <c r="M32" s="1094">
        <f t="shared" si="9"/>
        <v>12987013.359480426</v>
      </c>
      <c r="N32" s="1094">
        <f t="shared" si="9"/>
        <v>13188738.92470949</v>
      </c>
      <c r="O32" s="1094">
        <f t="shared" si="9"/>
        <v>13394711.315256106</v>
      </c>
      <c r="P32" s="1094">
        <f t="shared" si="9"/>
        <v>13605025.919969413</v>
      </c>
      <c r="Q32" s="1094">
        <f t="shared" si="9"/>
        <v>383603049.50849938</v>
      </c>
      <c r="R32" s="1094">
        <f t="shared" si="9"/>
        <v>14039074.252492547</v>
      </c>
      <c r="S32" s="1085">
        <f t="shared" si="9"/>
        <v>152621475.63042131</v>
      </c>
      <c r="T32" s="220"/>
      <c r="U32" s="220"/>
      <c r="V32" s="220"/>
      <c r="W32" s="220"/>
      <c r="X32" s="220"/>
      <c r="Y32" s="220"/>
      <c r="Z32" s="220"/>
      <c r="AA32" s="220"/>
      <c r="AB32" s="220"/>
      <c r="AC32" s="220"/>
    </row>
    <row r="33" spans="1:29" ht="14.25" x14ac:dyDescent="0.3">
      <c r="A33" s="207"/>
      <c r="B33" s="1117"/>
      <c r="C33" s="1118" t="str">
        <f t="shared" si="7"/>
        <v>Cash Flow pro příslušný rok</v>
      </c>
      <c r="D33" s="1123"/>
      <c r="E33" s="1135">
        <f t="shared" ref="E33:S33" si="10">E27-E32</f>
        <v>0</v>
      </c>
      <c r="F33" s="1136">
        <f t="shared" si="10"/>
        <v>0</v>
      </c>
      <c r="G33" s="1136">
        <f t="shared" si="10"/>
        <v>0</v>
      </c>
      <c r="H33" s="1136">
        <f t="shared" si="10"/>
        <v>0</v>
      </c>
      <c r="I33" s="1136">
        <f t="shared" si="10"/>
        <v>0</v>
      </c>
      <c r="J33" s="1136">
        <f t="shared" si="10"/>
        <v>0</v>
      </c>
      <c r="K33" s="1136">
        <f t="shared" si="10"/>
        <v>0</v>
      </c>
      <c r="L33" s="1136">
        <f t="shared" si="10"/>
        <v>0</v>
      </c>
      <c r="M33" s="1136">
        <f t="shared" si="10"/>
        <v>0</v>
      </c>
      <c r="N33" s="1136">
        <f t="shared" si="10"/>
        <v>0</v>
      </c>
      <c r="O33" s="1136">
        <f t="shared" si="10"/>
        <v>0</v>
      </c>
      <c r="P33" s="1136">
        <f t="shared" si="10"/>
        <v>0</v>
      </c>
      <c r="Q33" s="1136">
        <f t="shared" si="10"/>
        <v>7362460</v>
      </c>
      <c r="R33" s="1136">
        <f t="shared" si="10"/>
        <v>0</v>
      </c>
      <c r="S33" s="1137">
        <f t="shared" si="10"/>
        <v>0</v>
      </c>
      <c r="T33" s="1104"/>
      <c r="U33" s="1104"/>
      <c r="V33" s="1104"/>
      <c r="W33" s="1104"/>
      <c r="X33" s="1104"/>
      <c r="Y33" s="1104"/>
      <c r="Z33" s="1104"/>
      <c r="AA33" s="1104"/>
      <c r="AB33" s="1104"/>
      <c r="AC33" s="1104"/>
    </row>
    <row r="34" spans="1:29" ht="15" thickBot="1" x14ac:dyDescent="0.35">
      <c r="A34" s="207"/>
      <c r="B34" s="1119"/>
      <c r="C34" s="1120" t="str">
        <f t="shared" si="7"/>
        <v xml:space="preserve">Kumulované Cash Flow </v>
      </c>
      <c r="D34" s="1124"/>
      <c r="E34" s="1138">
        <f>E33+S17</f>
        <v>-737799746.95570385</v>
      </c>
      <c r="F34" s="1139">
        <f>F33+E34</f>
        <v>-737799746.95570385</v>
      </c>
      <c r="G34" s="1139">
        <f t="shared" ref="G34:S34" si="11">G33+F34</f>
        <v>-737799746.95570385</v>
      </c>
      <c r="H34" s="1139">
        <f t="shared" si="11"/>
        <v>-737799746.95570385</v>
      </c>
      <c r="I34" s="1139">
        <f t="shared" si="11"/>
        <v>-737799746.95570385</v>
      </c>
      <c r="J34" s="1139">
        <f t="shared" si="11"/>
        <v>-737799746.95570385</v>
      </c>
      <c r="K34" s="1139">
        <f t="shared" si="11"/>
        <v>-737799746.95570385</v>
      </c>
      <c r="L34" s="1139">
        <f t="shared" si="11"/>
        <v>-737799746.95570385</v>
      </c>
      <c r="M34" s="1139">
        <f t="shared" si="11"/>
        <v>-737799746.95570385</v>
      </c>
      <c r="N34" s="1139">
        <f t="shared" si="11"/>
        <v>-737799746.95570385</v>
      </c>
      <c r="O34" s="1139">
        <f t="shared" si="11"/>
        <v>-737799746.95570385</v>
      </c>
      <c r="P34" s="1139">
        <f t="shared" si="11"/>
        <v>-737799746.95570385</v>
      </c>
      <c r="Q34" s="1139">
        <f t="shared" si="11"/>
        <v>-730437286.95570385</v>
      </c>
      <c r="R34" s="1139">
        <f t="shared" si="11"/>
        <v>-730437286.95570385</v>
      </c>
      <c r="S34" s="1140">
        <f t="shared" si="11"/>
        <v>-730437286.95570385</v>
      </c>
      <c r="T34" s="1104"/>
      <c r="U34" s="1104"/>
      <c r="V34" s="1104"/>
      <c r="W34" s="1104"/>
      <c r="X34" s="1104"/>
      <c r="Y34" s="1104"/>
      <c r="Z34" s="1104"/>
      <c r="AA34" s="1104"/>
      <c r="AB34" s="1104"/>
      <c r="AC34" s="1104"/>
    </row>
    <row r="35" spans="1:29" x14ac:dyDescent="0.3">
      <c r="A35" s="207"/>
      <c r="B35" s="1105"/>
    </row>
    <row r="36" spans="1:29" x14ac:dyDescent="0.3">
      <c r="A36" s="1106"/>
    </row>
    <row r="37" spans="1:29" x14ac:dyDescent="0.3">
      <c r="A37" s="1106"/>
    </row>
    <row r="38" spans="1:29" x14ac:dyDescent="0.3">
      <c r="A38" s="1106"/>
    </row>
    <row r="39" spans="1:29" x14ac:dyDescent="0.3">
      <c r="A39" s="207"/>
    </row>
    <row r="40" spans="1:29" x14ac:dyDescent="0.3">
      <c r="A40" s="207"/>
    </row>
    <row r="41" spans="1:29" x14ac:dyDescent="0.3">
      <c r="A41" s="207"/>
      <c r="I41" s="962"/>
    </row>
    <row r="42" spans="1:29" x14ac:dyDescent="0.3">
      <c r="A42" s="207"/>
    </row>
    <row r="43" spans="1:29" x14ac:dyDescent="0.3">
      <c r="A43" s="207"/>
    </row>
    <row r="44" spans="1:29" x14ac:dyDescent="0.3">
      <c r="A44" s="207"/>
    </row>
  </sheetData>
  <sheetProtection algorithmName="SHA-512" hashValue="8XLjh6fg1YoOvgS+1idYmGrrcgZuKe4coxWYznALHC4+CmFS0plDKQzXt9IHMwtGNxi/ZNgR9OPrF/OXHVX4Cw==" saltValue="oCzYyBzNHPm/di15E3rqdg==" spinCount="100000" sheet="1" formatCells="0" formatColumns="0" formatRows="0" insertColumns="0" insertRows="0" insertHyperlinks="0" deleteColumns="0" deleteRows="0" sort="0" autoFilter="0" pivotTables="0"/>
  <mergeCells count="30">
    <mergeCell ref="E2:E3"/>
    <mergeCell ref="F2:F3"/>
    <mergeCell ref="G2:G3"/>
    <mergeCell ref="H2:H3"/>
    <mergeCell ref="I2:I3"/>
    <mergeCell ref="J2:J3"/>
    <mergeCell ref="K2:K3"/>
    <mergeCell ref="L2:L3"/>
    <mergeCell ref="M2:M3"/>
    <mergeCell ref="N2:N3"/>
    <mergeCell ref="Q2:Q3"/>
    <mergeCell ref="R2:R3"/>
    <mergeCell ref="O2:O3"/>
    <mergeCell ref="P2:P3"/>
    <mergeCell ref="S2:S3"/>
    <mergeCell ref="E19:E20"/>
    <mergeCell ref="F19:F20"/>
    <mergeCell ref="G19:G20"/>
    <mergeCell ref="H19:H20"/>
    <mergeCell ref="I19:I20"/>
    <mergeCell ref="J19:J20"/>
    <mergeCell ref="K19:K20"/>
    <mergeCell ref="L19:L20"/>
    <mergeCell ref="M19:M20"/>
    <mergeCell ref="R19:R20"/>
    <mergeCell ref="S19:S20"/>
    <mergeCell ref="N19:N20"/>
    <mergeCell ref="O19:O20"/>
    <mergeCell ref="P19:P20"/>
    <mergeCell ref="Q19:Q20"/>
  </mergeCells>
  <phoneticPr fontId="0" type="noConversion"/>
  <conditionalFormatting sqref="F17:R17 F34:R34 AC34 AC17">
    <cfRule type="cellIs" dxfId="4" priority="2" stopIfTrue="1" operator="lessThan">
      <formula>0</formula>
    </cfRule>
  </conditionalFormatting>
  <conditionalFormatting sqref="E34">
    <cfRule type="cellIs" dxfId="3" priority="3" stopIfTrue="1" operator="lessThan">
      <formula>0</formula>
    </cfRule>
  </conditionalFormatting>
  <conditionalFormatting sqref="S17:AB17 S34:AB34">
    <cfRule type="cellIs" dxfId="2" priority="1" stopIfTrue="1" operator="lessThan">
      <formula>0</formula>
    </cfRule>
  </conditionalFormatting>
  <pageMargins left="0.39370078740157483" right="0.15748031496062992" top="0.98425196850393704" bottom="0.78740157480314965" header="0.39370078740157483" footer="0.39370078740157483"/>
  <pageSetup paperSize="9" scale="61" fitToHeight="0" orientation="landscape" r:id="rId1"/>
  <headerFooter alignWithMargins="0">
    <oddFooter>&amp;L&amp;A&amp;C&amp;D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1">
    <pageSetUpPr fitToPage="1"/>
  </sheetPr>
  <dimension ref="A1:AH34"/>
  <sheetViews>
    <sheetView defaultGridColor="0" colorId="23" zoomScale="80" zoomScaleNormal="80" workbookViewId="0"/>
  </sheetViews>
  <sheetFormatPr defaultColWidth="9.140625" defaultRowHeight="13.5" x14ac:dyDescent="0.3"/>
  <cols>
    <col min="1" max="1" width="2.7109375" style="946" customWidth="1"/>
    <col min="2" max="2" width="7.28515625" style="946" customWidth="1"/>
    <col min="3" max="3" width="37.85546875" style="946" customWidth="1"/>
    <col min="4" max="4" width="20.140625" style="946" customWidth="1"/>
    <col min="5" max="29" width="10.7109375" style="946" customWidth="1"/>
    <col min="30" max="33" width="9.140625" style="946"/>
    <col min="34" max="34" width="11.7109375" style="946" bestFit="1" customWidth="1"/>
    <col min="35" max="16384" width="9.140625" style="946"/>
  </cols>
  <sheetData>
    <row r="1" spans="1:34" ht="14.25" thickBot="1" x14ac:dyDescent="0.35"/>
    <row r="2" spans="1:34" ht="14.25" x14ac:dyDescent="0.3">
      <c r="B2" s="1687" t="s">
        <v>285</v>
      </c>
      <c r="C2" s="1688" t="str">
        <f>IF('0 Úvod'!$M$10="English",Slovnik!D692,Slovnik!C692)</f>
        <v>Kalkulace finančního vnitřního výnosového procenta</v>
      </c>
      <c r="D2" s="1689"/>
      <c r="E2" s="2323">
        <f>'0 Úvod'!G18</f>
        <v>2021</v>
      </c>
      <c r="F2" s="2323">
        <f t="shared" ref="F2:S2" si="0">E2+1</f>
        <v>2022</v>
      </c>
      <c r="G2" s="2323">
        <f t="shared" si="0"/>
        <v>2023</v>
      </c>
      <c r="H2" s="2323">
        <f t="shared" si="0"/>
        <v>2024</v>
      </c>
      <c r="I2" s="2323">
        <f t="shared" si="0"/>
        <v>2025</v>
      </c>
      <c r="J2" s="2323">
        <f t="shared" si="0"/>
        <v>2026</v>
      </c>
      <c r="K2" s="2323">
        <f t="shared" si="0"/>
        <v>2027</v>
      </c>
      <c r="L2" s="2323">
        <f t="shared" si="0"/>
        <v>2028</v>
      </c>
      <c r="M2" s="2323">
        <f t="shared" si="0"/>
        <v>2029</v>
      </c>
      <c r="N2" s="2323">
        <f t="shared" si="0"/>
        <v>2030</v>
      </c>
      <c r="O2" s="2323">
        <f t="shared" si="0"/>
        <v>2031</v>
      </c>
      <c r="P2" s="2323">
        <f t="shared" si="0"/>
        <v>2032</v>
      </c>
      <c r="Q2" s="2323">
        <f t="shared" si="0"/>
        <v>2033</v>
      </c>
      <c r="R2" s="2323">
        <f t="shared" si="0"/>
        <v>2034</v>
      </c>
      <c r="S2" s="2329">
        <f t="shared" si="0"/>
        <v>2035</v>
      </c>
      <c r="T2" s="977"/>
      <c r="U2" s="978"/>
      <c r="V2" s="978"/>
      <c r="W2" s="978"/>
      <c r="X2" s="978"/>
      <c r="Y2" s="978"/>
      <c r="Z2" s="978"/>
      <c r="AA2" s="978"/>
      <c r="AB2" s="978"/>
      <c r="AC2" s="978"/>
    </row>
    <row r="3" spans="1:34" ht="15" thickBot="1" x14ac:dyDescent="0.35">
      <c r="A3" s="1489"/>
      <c r="B3" s="1690" t="s">
        <v>23</v>
      </c>
      <c r="C3" s="1691" t="str">
        <f>IF('0 Úvod'!$M$10="English",Slovnik!$D$693,Slovnik!$C$693)</f>
        <v>kapitálu - FRR/K (CZK)</v>
      </c>
      <c r="D3" s="1561" t="s">
        <v>39</v>
      </c>
      <c r="E3" s="2662"/>
      <c r="F3" s="2662"/>
      <c r="G3" s="2662"/>
      <c r="H3" s="2662"/>
      <c r="I3" s="2662"/>
      <c r="J3" s="2662"/>
      <c r="K3" s="2662"/>
      <c r="L3" s="2662"/>
      <c r="M3" s="2662"/>
      <c r="N3" s="2662"/>
      <c r="O3" s="2662"/>
      <c r="P3" s="2662"/>
      <c r="Q3" s="2662"/>
      <c r="R3" s="2662"/>
      <c r="S3" s="2663"/>
      <c r="T3" s="977"/>
      <c r="U3" s="978"/>
      <c r="V3" s="978"/>
      <c r="W3" s="978"/>
      <c r="X3" s="978"/>
      <c r="Y3" s="978"/>
      <c r="Z3" s="978"/>
      <c r="AA3" s="978"/>
      <c r="AB3" s="978"/>
      <c r="AC3" s="978"/>
      <c r="AD3" s="950"/>
      <c r="AE3" s="950"/>
      <c r="AF3" s="950"/>
      <c r="AG3" s="950"/>
      <c r="AH3" s="950"/>
    </row>
    <row r="4" spans="1:34" ht="14.25" x14ac:dyDescent="0.3">
      <c r="A4" s="1489"/>
      <c r="B4" s="1398"/>
      <c r="C4" s="1397" t="str">
        <f>IF('0 Úvod'!$M$10="English",Slovnik!$D$694,Slovnik!$C$694)</f>
        <v>Zůstatková hodnota</v>
      </c>
      <c r="D4" s="1425">
        <f>SUM(E4:S4,E16:S16)</f>
        <v>37866348.040484771</v>
      </c>
      <c r="E4" s="1540">
        <f>-1*'10 Finanční analýza (FRR_C)'!E9</f>
        <v>0</v>
      </c>
      <c r="F4" s="1540">
        <f>-1*'10 Finanční analýza (FRR_C)'!F9</f>
        <v>0</v>
      </c>
      <c r="G4" s="1540">
        <f>-1*'10 Finanční analýza (FRR_C)'!G9</f>
        <v>0</v>
      </c>
      <c r="H4" s="1540">
        <f>-1*'10 Finanční analýza (FRR_C)'!H9</f>
        <v>0</v>
      </c>
      <c r="I4" s="1540">
        <f>-1*'10 Finanční analýza (FRR_C)'!I9</f>
        <v>0</v>
      </c>
      <c r="J4" s="1540">
        <f>-1*'10 Finanční analýza (FRR_C)'!J9</f>
        <v>0</v>
      </c>
      <c r="K4" s="1540">
        <f>-1*'10 Finanční analýza (FRR_C)'!K9</f>
        <v>0</v>
      </c>
      <c r="L4" s="1540">
        <f>-1*'10 Finanční analýza (FRR_C)'!L9</f>
        <v>0</v>
      </c>
      <c r="M4" s="1540">
        <f>-1*'10 Finanční analýza (FRR_C)'!M9</f>
        <v>0</v>
      </c>
      <c r="N4" s="1540">
        <f>-1*'10 Finanční analýza (FRR_C)'!N9</f>
        <v>0</v>
      </c>
      <c r="O4" s="1540">
        <f>-1*'10 Finanční analýza (FRR_C)'!O9</f>
        <v>0</v>
      </c>
      <c r="P4" s="1540">
        <f>-1*'10 Finanční analýza (FRR_C)'!P9</f>
        <v>0</v>
      </c>
      <c r="Q4" s="1540">
        <f>-1*'10 Finanční analýza (FRR_C)'!Q9</f>
        <v>0</v>
      </c>
      <c r="R4" s="1540">
        <f>-1*'10 Finanční analýza (FRR_C)'!R9</f>
        <v>0</v>
      </c>
      <c r="S4" s="1541">
        <f>-1*'10 Finanční analýza (FRR_C)'!S9</f>
        <v>0</v>
      </c>
      <c r="T4" s="1371"/>
      <c r="U4" s="1371"/>
      <c r="V4" s="1371"/>
      <c r="W4" s="1371"/>
      <c r="X4" s="1371"/>
      <c r="Y4" s="1371"/>
      <c r="Z4" s="1371"/>
      <c r="AA4" s="1371"/>
      <c r="AB4" s="1371"/>
      <c r="AC4" s="1371"/>
    </row>
    <row r="5" spans="1:34" ht="14.25" x14ac:dyDescent="0.3">
      <c r="A5" s="1489"/>
      <c r="B5" s="1398"/>
      <c r="C5" s="1398" t="str">
        <f>IF('0 Úvod'!$M$10="English",Slovnik!$D$695,Slovnik!$C$695)</f>
        <v>Přírůstek celkových provozních příjmů</v>
      </c>
      <c r="D5" s="1426">
        <f>SUM(E5:S5,E17:S17)</f>
        <v>7362460</v>
      </c>
      <c r="E5" s="1542">
        <f>IF('10 Finanční analýza (FRR_C)'!$S$29="SILNIČNÍ",'10 Finanční analýza (FRR_C)'!E4,'14 Mezera ve financování'!E5)</f>
        <v>0</v>
      </c>
      <c r="F5" s="1542">
        <f>IF('10 Finanční analýza (FRR_C)'!$S$29="SILNIČNÍ",'10 Finanční analýza (FRR_C)'!F4,'14 Mezera ve financování'!F5)</f>
        <v>0</v>
      </c>
      <c r="G5" s="1542">
        <f>IF('10 Finanční analýza (FRR_C)'!$S$29="SILNIČNÍ",'10 Finanční analýza (FRR_C)'!G4,'14 Mezera ve financování'!G5)</f>
        <v>7362460</v>
      </c>
      <c r="H5" s="1542">
        <f>IF('10 Finanční analýza (FRR_C)'!$S$29="SILNIČNÍ",'10 Finanční analýza (FRR_C)'!H4,'14 Mezera ve financování'!H5)</f>
        <v>0</v>
      </c>
      <c r="I5" s="1542">
        <f>IF('10 Finanční analýza (FRR_C)'!$S$29="SILNIČNÍ",'10 Finanční analýza (FRR_C)'!I4,'14 Mezera ve financování'!I5)</f>
        <v>0</v>
      </c>
      <c r="J5" s="1542">
        <f>IF('10 Finanční analýza (FRR_C)'!$S$29="SILNIČNÍ",'10 Finanční analýza (FRR_C)'!J4,'14 Mezera ve financování'!J5)</f>
        <v>0</v>
      </c>
      <c r="K5" s="1542">
        <f>IF('10 Finanční analýza (FRR_C)'!$S$29="SILNIČNÍ",'10 Finanční analýza (FRR_C)'!K4,'14 Mezera ve financování'!K5)</f>
        <v>0</v>
      </c>
      <c r="L5" s="1542">
        <f>IF('10 Finanční analýza (FRR_C)'!$S$29="SILNIČNÍ",'10 Finanční analýza (FRR_C)'!L4,'14 Mezera ve financování'!L5)</f>
        <v>0</v>
      </c>
      <c r="M5" s="1542">
        <f>IF('10 Finanční analýza (FRR_C)'!$S$29="SILNIČNÍ",'10 Finanční analýza (FRR_C)'!M4,'14 Mezera ve financování'!M5)</f>
        <v>0</v>
      </c>
      <c r="N5" s="1542">
        <f>IF('10 Finanční analýza (FRR_C)'!$S$29="SILNIČNÍ",'10 Finanční analýza (FRR_C)'!N4,'14 Mezera ve financování'!N5)</f>
        <v>0</v>
      </c>
      <c r="O5" s="1542">
        <f>IF('10 Finanční analýza (FRR_C)'!$S$29="SILNIČNÍ",'10 Finanční analýza (FRR_C)'!O4,'14 Mezera ve financování'!O5)</f>
        <v>0</v>
      </c>
      <c r="P5" s="1542">
        <f>IF('10 Finanční analýza (FRR_C)'!$S$29="SILNIČNÍ",'10 Finanční analýza (FRR_C)'!P4,'14 Mezera ve financování'!P5)</f>
        <v>0</v>
      </c>
      <c r="Q5" s="1542">
        <f>IF('10 Finanční analýza (FRR_C)'!$S$29="SILNIČNÍ",'10 Finanční analýza (FRR_C)'!Q4,'14 Mezera ve financování'!Q5)</f>
        <v>0</v>
      </c>
      <c r="R5" s="1542">
        <f>IF('10 Finanční analýza (FRR_C)'!$S$29="SILNIČNÍ",'10 Finanční analýza (FRR_C)'!R4,'14 Mezera ve financování'!R5)</f>
        <v>0</v>
      </c>
      <c r="S5" s="1543">
        <f>IF('10 Finanční analýza (FRR_C)'!$S$29="SILNIČNÍ",'10 Finanční analýza (FRR_C)'!S4,'14 Mezera ve financování'!S5)</f>
        <v>0</v>
      </c>
      <c r="T5" s="1371"/>
      <c r="U5" s="1371"/>
      <c r="V5" s="1371"/>
      <c r="W5" s="1371"/>
      <c r="X5" s="1371"/>
      <c r="Y5" s="1371"/>
      <c r="Z5" s="1371"/>
      <c r="AA5" s="1371"/>
      <c r="AB5" s="1371"/>
      <c r="AC5" s="1371"/>
    </row>
    <row r="6" spans="1:34" ht="14.25" x14ac:dyDescent="0.3">
      <c r="B6" s="1578"/>
      <c r="C6" s="1578" t="str">
        <f>IF('0 Úvod'!$M$10="English",Slovnik!$D$696,Slovnik!$C$696)</f>
        <v>Celkové příjmy</v>
      </c>
      <c r="D6" s="1492">
        <f>SUM(D4:D5)</f>
        <v>45228808.040484771</v>
      </c>
      <c r="E6" s="1525">
        <f>SUM(E4:E5)</f>
        <v>0</v>
      </c>
      <c r="F6" s="1499">
        <f t="shared" ref="F6:S6" si="1">SUM(F4:F5)</f>
        <v>0</v>
      </c>
      <c r="G6" s="1499">
        <f t="shared" si="1"/>
        <v>7362460</v>
      </c>
      <c r="H6" s="1499">
        <f t="shared" si="1"/>
        <v>0</v>
      </c>
      <c r="I6" s="1499">
        <f t="shared" si="1"/>
        <v>0</v>
      </c>
      <c r="J6" s="1499">
        <f t="shared" si="1"/>
        <v>0</v>
      </c>
      <c r="K6" s="1499">
        <f t="shared" si="1"/>
        <v>0</v>
      </c>
      <c r="L6" s="1499">
        <f t="shared" si="1"/>
        <v>0</v>
      </c>
      <c r="M6" s="1499">
        <f t="shared" si="1"/>
        <v>0</v>
      </c>
      <c r="N6" s="1499">
        <f t="shared" si="1"/>
        <v>0</v>
      </c>
      <c r="O6" s="1499">
        <f t="shared" si="1"/>
        <v>0</v>
      </c>
      <c r="P6" s="1499">
        <f t="shared" si="1"/>
        <v>0</v>
      </c>
      <c r="Q6" s="1499">
        <f t="shared" si="1"/>
        <v>0</v>
      </c>
      <c r="R6" s="1499">
        <f t="shared" si="1"/>
        <v>0</v>
      </c>
      <c r="S6" s="1526">
        <f t="shared" si="1"/>
        <v>0</v>
      </c>
      <c r="T6" s="1374"/>
      <c r="U6" s="1374"/>
      <c r="V6" s="1374"/>
      <c r="W6" s="1374"/>
      <c r="X6" s="1374"/>
      <c r="Y6" s="1374"/>
      <c r="Z6" s="1374"/>
      <c r="AA6" s="1374"/>
      <c r="AB6" s="1374"/>
      <c r="AC6" s="1374"/>
    </row>
    <row r="7" spans="1:34" ht="14.25" x14ac:dyDescent="0.3">
      <c r="A7" s="1489"/>
      <c r="B7" s="1398"/>
      <c r="C7" s="1696" t="str">
        <f>IF('0 Úvod'!$M$10="English",Slovnik!D697,Slovnik!C697)</f>
        <v>Přírůstkové celkové provozní náklady*</v>
      </c>
      <c r="D7" s="1426">
        <f>SUM(E7:S7,E19:S19)</f>
        <v>0</v>
      </c>
      <c r="E7" s="1542">
        <f>IF('10 Finanční analýza (FRR_C)'!$S$29="SILNIČNÍ",'10 Finanční analýza (FRR_C)'!E6,'13 Kontrola dotací'!E37)</f>
        <v>0</v>
      </c>
      <c r="F7" s="1542">
        <f>IF('10 Finanční analýza (FRR_C)'!$S$29="SILNIČNÍ",'10 Finanční analýza (FRR_C)'!F6,'13 Kontrola dotací'!F37)</f>
        <v>0</v>
      </c>
      <c r="G7" s="1542">
        <f>IF('10 Finanční analýza (FRR_C)'!$S$29="SILNIČNÍ",'10 Finanční analýza (FRR_C)'!G6,'13 Kontrola dotací'!G37)</f>
        <v>0</v>
      </c>
      <c r="H7" s="1542">
        <f>IF('10 Finanční analýza (FRR_C)'!$S$29="SILNIČNÍ",'10 Finanční analýza (FRR_C)'!H6,'13 Kontrola dotací'!H37)</f>
        <v>0</v>
      </c>
      <c r="I7" s="1542">
        <f>IF('10 Finanční analýza (FRR_C)'!$S$29="SILNIČNÍ",'10 Finanční analýza (FRR_C)'!I6,'13 Kontrola dotací'!I37)</f>
        <v>0</v>
      </c>
      <c r="J7" s="1542">
        <f>IF('10 Finanční analýza (FRR_C)'!$S$29="SILNIČNÍ",'10 Finanční analýza (FRR_C)'!J6,'13 Kontrola dotací'!J37)</f>
        <v>0</v>
      </c>
      <c r="K7" s="1542">
        <f>IF('10 Finanční analýza (FRR_C)'!$S$29="SILNIČNÍ",'10 Finanční analýza (FRR_C)'!K6,'13 Kontrola dotací'!K37)</f>
        <v>0</v>
      </c>
      <c r="L7" s="1542">
        <f>IF('10 Finanční analýza (FRR_C)'!$S$29="SILNIČNÍ",'10 Finanční analýza (FRR_C)'!L6,'13 Kontrola dotací'!L37)</f>
        <v>0</v>
      </c>
      <c r="M7" s="1542">
        <f>IF('10 Finanční analýza (FRR_C)'!$S$29="SILNIČNÍ",'10 Finanční analýza (FRR_C)'!M6,'13 Kontrola dotací'!M37)</f>
        <v>0</v>
      </c>
      <c r="N7" s="1542">
        <f>IF('10 Finanční analýza (FRR_C)'!$S$29="SILNIČNÍ",'10 Finanční analýza (FRR_C)'!N6,'13 Kontrola dotací'!N37)</f>
        <v>0</v>
      </c>
      <c r="O7" s="1542">
        <f>IF('10 Finanční analýza (FRR_C)'!$S$29="SILNIČNÍ",'10 Finanční analýza (FRR_C)'!O6,'13 Kontrola dotací'!O37)</f>
        <v>0</v>
      </c>
      <c r="P7" s="1542">
        <f>IF('10 Finanční analýza (FRR_C)'!$S$29="SILNIČNÍ",'10 Finanční analýza (FRR_C)'!P6,'13 Kontrola dotací'!P37)</f>
        <v>0</v>
      </c>
      <c r="Q7" s="1542">
        <f>IF('10 Finanční analýza (FRR_C)'!$S$29="SILNIČNÍ",'10 Finanční analýza (FRR_C)'!Q6,'13 Kontrola dotací'!Q37)</f>
        <v>0</v>
      </c>
      <c r="R7" s="1542">
        <f>IF('10 Finanční analýza (FRR_C)'!$S$29="SILNIČNÍ",'10 Finanční analýza (FRR_C)'!R6,'13 Kontrola dotací'!R37)</f>
        <v>0</v>
      </c>
      <c r="S7" s="1543">
        <f>IF('10 Finanční analýza (FRR_C)'!$S$29="SILNIČNÍ",'10 Finanční analýza (FRR_C)'!S6,'13 Kontrola dotací'!S37)</f>
        <v>0</v>
      </c>
      <c r="T7" s="1371"/>
      <c r="U7" s="1371"/>
      <c r="V7" s="1371"/>
      <c r="W7" s="1371"/>
      <c r="X7" s="1371"/>
      <c r="Y7" s="1371"/>
      <c r="Z7" s="1371"/>
      <c r="AA7" s="1371"/>
      <c r="AB7" s="1371"/>
      <c r="AC7" s="1371"/>
    </row>
    <row r="8" spans="1:34" ht="14.25" x14ac:dyDescent="0.3">
      <c r="A8" s="1489"/>
      <c r="B8" s="1398"/>
      <c r="C8" s="1697" t="str">
        <f>IF('0 Úvod'!$M$10="English",Slovnik!D698,Slovnik!C698)</f>
        <v>Příspěvky žadatele + národní zdroje</v>
      </c>
      <c r="D8" s="1426">
        <f>SUM(E8:S8,E20:S20)</f>
        <v>0</v>
      </c>
      <c r="E8" s="1542">
        <f>'15 Finanční struktura'!E6+'15 Finanční struktura'!E9</f>
        <v>0</v>
      </c>
      <c r="F8" s="1542">
        <f>'15 Finanční struktura'!F6+'15 Finanční struktura'!F9</f>
        <v>0</v>
      </c>
      <c r="G8" s="1542">
        <f>'15 Finanční struktura'!G6+'15 Finanční struktura'!G9</f>
        <v>0</v>
      </c>
      <c r="H8" s="1542">
        <f>'15 Finanční struktura'!H6+'15 Finanční struktura'!H9</f>
        <v>0</v>
      </c>
      <c r="I8" s="1542">
        <f>'15 Finanční struktura'!I6+'15 Finanční struktura'!I9</f>
        <v>0</v>
      </c>
      <c r="J8" s="1542">
        <f>'15 Finanční struktura'!J6+'15 Finanční struktura'!J9</f>
        <v>0</v>
      </c>
      <c r="K8" s="1542">
        <f>'15 Finanční struktura'!K6+'15 Finanční struktura'!K9</f>
        <v>0</v>
      </c>
      <c r="L8" s="1542">
        <f>'15 Finanční struktura'!L6+'15 Finanční struktura'!L9</f>
        <v>0</v>
      </c>
      <c r="M8" s="1542">
        <f>'15 Finanční struktura'!M6+'15 Finanční struktura'!M9</f>
        <v>0</v>
      </c>
      <c r="N8" s="1542">
        <f>'15 Finanční struktura'!N6+'15 Finanční struktura'!N9</f>
        <v>0</v>
      </c>
      <c r="O8" s="1542">
        <f>'15 Finanční struktura'!O6+'15 Finanční struktura'!O9</f>
        <v>0</v>
      </c>
      <c r="P8" s="1542">
        <f>'15 Finanční struktura'!P6+'15 Finanční struktura'!P9</f>
        <v>0</v>
      </c>
      <c r="Q8" s="1542">
        <f>'15 Finanční struktura'!Q6+'15 Finanční struktura'!Q9</f>
        <v>0</v>
      </c>
      <c r="R8" s="1542">
        <f>'15 Finanční struktura'!R6+'15 Finanční struktura'!R9</f>
        <v>0</v>
      </c>
      <c r="S8" s="1543">
        <f>'15 Finanční struktura'!S6+'15 Finanční struktura'!S9</f>
        <v>0</v>
      </c>
      <c r="T8" s="1371"/>
      <c r="U8" s="1371"/>
      <c r="V8" s="1371"/>
      <c r="W8" s="1371"/>
      <c r="X8" s="1371"/>
      <c r="Y8" s="1371"/>
      <c r="Z8" s="1371"/>
      <c r="AA8" s="1371"/>
      <c r="AB8" s="1371"/>
      <c r="AC8" s="1371"/>
    </row>
    <row r="9" spans="1:34" ht="14.25" x14ac:dyDescent="0.3">
      <c r="B9" s="1578"/>
      <c r="C9" s="1578" t="str">
        <f>IF('0 Úvod'!$M$10="English",Slovnik!D699,Slovnik!C699)</f>
        <v>Celkové náklady</v>
      </c>
      <c r="D9" s="1492">
        <f>SUM(D7:D8)</f>
        <v>0</v>
      </c>
      <c r="E9" s="1525">
        <f t="shared" ref="E9:S9" si="2">SUM(E7:E8)</f>
        <v>0</v>
      </c>
      <c r="F9" s="1499">
        <f t="shared" si="2"/>
        <v>0</v>
      </c>
      <c r="G9" s="1499">
        <f t="shared" si="2"/>
        <v>0</v>
      </c>
      <c r="H9" s="1499">
        <f t="shared" si="2"/>
        <v>0</v>
      </c>
      <c r="I9" s="1499">
        <f t="shared" si="2"/>
        <v>0</v>
      </c>
      <c r="J9" s="1499">
        <f t="shared" si="2"/>
        <v>0</v>
      </c>
      <c r="K9" s="1499">
        <f t="shared" si="2"/>
        <v>0</v>
      </c>
      <c r="L9" s="1499">
        <f t="shared" si="2"/>
        <v>0</v>
      </c>
      <c r="M9" s="1499">
        <f t="shared" si="2"/>
        <v>0</v>
      </c>
      <c r="N9" s="1499">
        <f t="shared" si="2"/>
        <v>0</v>
      </c>
      <c r="O9" s="1499">
        <f t="shared" si="2"/>
        <v>0</v>
      </c>
      <c r="P9" s="1499">
        <f t="shared" si="2"/>
        <v>0</v>
      </c>
      <c r="Q9" s="1499">
        <f t="shared" si="2"/>
        <v>0</v>
      </c>
      <c r="R9" s="1499">
        <f t="shared" si="2"/>
        <v>0</v>
      </c>
      <c r="S9" s="1526">
        <f t="shared" si="2"/>
        <v>0</v>
      </c>
      <c r="T9" s="1374"/>
      <c r="U9" s="1374"/>
      <c r="V9" s="1374"/>
      <c r="W9" s="1374"/>
      <c r="X9" s="1374"/>
      <c r="Y9" s="1374"/>
      <c r="Z9" s="1374"/>
      <c r="AA9" s="1374"/>
      <c r="AB9" s="1374"/>
      <c r="AC9" s="1374"/>
    </row>
    <row r="10" spans="1:34" ht="14.25" x14ac:dyDescent="0.3">
      <c r="B10" s="1579"/>
      <c r="C10" s="1579" t="str">
        <f>IF('0 Úvod'!$M$10="English",Slovnik!D700,Slovnik!C700)</f>
        <v xml:space="preserve">Cash Flow </v>
      </c>
      <c r="D10" s="1680"/>
      <c r="E10" s="1527">
        <f t="shared" ref="E10:S10" si="3">E6-E9</f>
        <v>0</v>
      </c>
      <c r="F10" s="1500">
        <f t="shared" si="3"/>
        <v>0</v>
      </c>
      <c r="G10" s="1500">
        <f t="shared" si="3"/>
        <v>7362460</v>
      </c>
      <c r="H10" s="1500">
        <f t="shared" si="3"/>
        <v>0</v>
      </c>
      <c r="I10" s="1500">
        <f t="shared" si="3"/>
        <v>0</v>
      </c>
      <c r="J10" s="1500">
        <f t="shared" si="3"/>
        <v>0</v>
      </c>
      <c r="K10" s="1500">
        <f t="shared" si="3"/>
        <v>0</v>
      </c>
      <c r="L10" s="1500">
        <f t="shared" si="3"/>
        <v>0</v>
      </c>
      <c r="M10" s="1500">
        <f t="shared" si="3"/>
        <v>0</v>
      </c>
      <c r="N10" s="1500">
        <f t="shared" si="3"/>
        <v>0</v>
      </c>
      <c r="O10" s="1500">
        <f t="shared" si="3"/>
        <v>0</v>
      </c>
      <c r="P10" s="1500">
        <f t="shared" si="3"/>
        <v>0</v>
      </c>
      <c r="Q10" s="1500">
        <f t="shared" si="3"/>
        <v>0</v>
      </c>
      <c r="R10" s="1500">
        <f t="shared" si="3"/>
        <v>0</v>
      </c>
      <c r="S10" s="1528">
        <f t="shared" si="3"/>
        <v>0</v>
      </c>
      <c r="T10" s="1381"/>
      <c r="U10" s="1381"/>
      <c r="V10" s="1381"/>
      <c r="W10" s="1381"/>
      <c r="X10" s="1381"/>
      <c r="Y10" s="1381"/>
      <c r="Z10" s="1381"/>
      <c r="AA10" s="1381"/>
      <c r="AB10" s="1381"/>
      <c r="AC10" s="1374"/>
    </row>
    <row r="11" spans="1:34" ht="14.25" x14ac:dyDescent="0.3">
      <c r="A11" s="1496"/>
      <c r="B11" s="1406"/>
      <c r="C11" s="1398" t="str">
        <f>IF('0 Úvod'!$M$10="English",Slovnik!D701,Slovnik!C701)</f>
        <v>Diskontní sazba</v>
      </c>
      <c r="D11" s="1423">
        <f>'0 Úvod'!J20</f>
        <v>0.04</v>
      </c>
      <c r="E11" s="1574">
        <v>1</v>
      </c>
      <c r="F11" s="1574">
        <f>E11/(1+$D$11)</f>
        <v>0.96153846153846145</v>
      </c>
      <c r="G11" s="1574">
        <f t="shared" ref="G11:S11" si="4">F11/(1+$D$11)</f>
        <v>0.92455621301775137</v>
      </c>
      <c r="H11" s="1574">
        <f t="shared" si="4"/>
        <v>0.88899635867091475</v>
      </c>
      <c r="I11" s="1574">
        <f t="shared" si="4"/>
        <v>0.85480419102972571</v>
      </c>
      <c r="J11" s="1574">
        <f t="shared" si="4"/>
        <v>0.82192710675935166</v>
      </c>
      <c r="K11" s="1574">
        <f t="shared" si="4"/>
        <v>0.79031452573014582</v>
      </c>
      <c r="L11" s="1574">
        <f t="shared" si="4"/>
        <v>0.75991781320206331</v>
      </c>
      <c r="M11" s="1574">
        <f t="shared" si="4"/>
        <v>0.73069020500198389</v>
      </c>
      <c r="N11" s="1574">
        <f t="shared" si="4"/>
        <v>0.70258673557883067</v>
      </c>
      <c r="O11" s="1574">
        <f t="shared" si="4"/>
        <v>0.67556416882579873</v>
      </c>
      <c r="P11" s="1574">
        <f t="shared" si="4"/>
        <v>0.64958093156326802</v>
      </c>
      <c r="Q11" s="1574">
        <f t="shared" si="4"/>
        <v>0.62459704958006534</v>
      </c>
      <c r="R11" s="1574">
        <f t="shared" si="4"/>
        <v>0.60057408613467822</v>
      </c>
      <c r="S11" s="1575">
        <f t="shared" si="4"/>
        <v>0.57747508282180593</v>
      </c>
      <c r="T11" s="1377"/>
      <c r="U11" s="1377"/>
      <c r="V11" s="1377"/>
      <c r="W11" s="1377"/>
      <c r="X11" s="1377"/>
      <c r="Y11" s="1377"/>
      <c r="Z11" s="1377"/>
      <c r="AA11" s="1377"/>
      <c r="AB11" s="1377"/>
      <c r="AC11" s="1377"/>
    </row>
    <row r="12" spans="1:34" s="1371" customFormat="1" ht="15" thickBot="1" x14ac:dyDescent="0.35">
      <c r="A12" s="1374"/>
      <c r="B12" s="1603"/>
      <c r="C12" s="1615" t="str">
        <f>IF('0 Úvod'!$M$10="English",Slovnik!D702,Slovnik!C702)</f>
        <v>Diskontované cash flow</v>
      </c>
      <c r="D12" s="1623">
        <f>SUM(E12:S12,E24:S24)</f>
        <v>18948906.204509288</v>
      </c>
      <c r="E12" s="1576">
        <f>E10*E11</f>
        <v>0</v>
      </c>
      <c r="F12" s="1576">
        <f t="shared" ref="F12:S12" si="5">F10*F11</f>
        <v>0</v>
      </c>
      <c r="G12" s="1576">
        <f t="shared" si="5"/>
        <v>6807008.1360946735</v>
      </c>
      <c r="H12" s="1576">
        <f t="shared" si="5"/>
        <v>0</v>
      </c>
      <c r="I12" s="1576">
        <f t="shared" si="5"/>
        <v>0</v>
      </c>
      <c r="J12" s="1576">
        <f t="shared" si="5"/>
        <v>0</v>
      </c>
      <c r="K12" s="1576">
        <f t="shared" si="5"/>
        <v>0</v>
      </c>
      <c r="L12" s="1576">
        <f t="shared" si="5"/>
        <v>0</v>
      </c>
      <c r="M12" s="1576">
        <f t="shared" si="5"/>
        <v>0</v>
      </c>
      <c r="N12" s="1576">
        <f t="shared" si="5"/>
        <v>0</v>
      </c>
      <c r="O12" s="1576">
        <f t="shared" si="5"/>
        <v>0</v>
      </c>
      <c r="P12" s="1576">
        <f t="shared" si="5"/>
        <v>0</v>
      </c>
      <c r="Q12" s="1576">
        <f t="shared" si="5"/>
        <v>0</v>
      </c>
      <c r="R12" s="1576">
        <f t="shared" si="5"/>
        <v>0</v>
      </c>
      <c r="S12" s="1577">
        <f t="shared" si="5"/>
        <v>0</v>
      </c>
      <c r="T12" s="1374"/>
      <c r="U12" s="1374"/>
      <c r="V12" s="1374"/>
      <c r="W12" s="1374"/>
      <c r="X12" s="1374"/>
      <c r="Y12" s="1374"/>
      <c r="Z12" s="1374"/>
      <c r="AA12" s="1374"/>
      <c r="AB12" s="1374"/>
      <c r="AC12" s="1374"/>
    </row>
    <row r="13" spans="1:34" ht="13.5" customHeight="1" thickBot="1" x14ac:dyDescent="0.35">
      <c r="E13" s="1371"/>
      <c r="F13" s="1371"/>
      <c r="G13" s="1371"/>
      <c r="H13" s="1371"/>
      <c r="I13" s="1371"/>
      <c r="J13" s="1371"/>
      <c r="K13" s="1371"/>
      <c r="L13" s="1371"/>
      <c r="M13" s="1371"/>
      <c r="N13" s="1371"/>
      <c r="O13" s="1371"/>
      <c r="P13" s="1371"/>
      <c r="Q13" s="1371"/>
      <c r="R13" s="1371"/>
      <c r="S13" s="1371"/>
      <c r="T13" s="1371"/>
      <c r="U13" s="1371"/>
      <c r="V13" s="1371"/>
      <c r="W13" s="1371"/>
      <c r="X13" s="1371"/>
      <c r="Y13" s="1371"/>
      <c r="Z13" s="1371"/>
      <c r="AA13" s="1371"/>
      <c r="AB13" s="1371"/>
    </row>
    <row r="14" spans="1:34" ht="14.25" x14ac:dyDescent="0.3">
      <c r="B14" s="1588" t="s">
        <v>285</v>
      </c>
      <c r="C14" s="1587" t="str">
        <f>C2</f>
        <v>Kalkulace finančního vnitřního výnosového procenta</v>
      </c>
      <c r="D14" s="1692"/>
      <c r="E14" s="2321">
        <f>S2+1</f>
        <v>2036</v>
      </c>
      <c r="F14" s="2323">
        <f t="shared" ref="F14:S14" si="6">E14+1</f>
        <v>2037</v>
      </c>
      <c r="G14" s="2323">
        <f t="shared" si="6"/>
        <v>2038</v>
      </c>
      <c r="H14" s="2323">
        <f t="shared" si="6"/>
        <v>2039</v>
      </c>
      <c r="I14" s="2323">
        <f t="shared" si="6"/>
        <v>2040</v>
      </c>
      <c r="J14" s="2323">
        <f t="shared" si="6"/>
        <v>2041</v>
      </c>
      <c r="K14" s="2323">
        <f t="shared" si="6"/>
        <v>2042</v>
      </c>
      <c r="L14" s="2323">
        <f t="shared" si="6"/>
        <v>2043</v>
      </c>
      <c r="M14" s="2323">
        <f t="shared" si="6"/>
        <v>2044</v>
      </c>
      <c r="N14" s="2323">
        <f t="shared" si="6"/>
        <v>2045</v>
      </c>
      <c r="O14" s="2323">
        <f t="shared" si="6"/>
        <v>2046</v>
      </c>
      <c r="P14" s="2323">
        <f t="shared" si="6"/>
        <v>2047</v>
      </c>
      <c r="Q14" s="2323">
        <f t="shared" si="6"/>
        <v>2048</v>
      </c>
      <c r="R14" s="2323">
        <f t="shared" si="6"/>
        <v>2049</v>
      </c>
      <c r="S14" s="2329">
        <f t="shared" si="6"/>
        <v>2050</v>
      </c>
      <c r="T14" s="977"/>
      <c r="U14" s="978"/>
      <c r="V14" s="978"/>
      <c r="W14" s="978"/>
      <c r="X14" s="978"/>
      <c r="Y14" s="978"/>
      <c r="Z14" s="978"/>
      <c r="AA14" s="978"/>
      <c r="AB14" s="978"/>
      <c r="AC14" s="978"/>
    </row>
    <row r="15" spans="1:34" ht="15" thickBot="1" x14ac:dyDescent="0.35">
      <c r="A15" s="1489"/>
      <c r="B15" s="1590" t="s">
        <v>24</v>
      </c>
      <c r="C15" s="1693" t="str">
        <f>C3</f>
        <v>kapitálu - FRR/K (CZK)</v>
      </c>
      <c r="D15" s="1694"/>
      <c r="E15" s="2576"/>
      <c r="F15" s="2575"/>
      <c r="G15" s="2575"/>
      <c r="H15" s="2575"/>
      <c r="I15" s="2575"/>
      <c r="J15" s="2575"/>
      <c r="K15" s="2575"/>
      <c r="L15" s="2575"/>
      <c r="M15" s="2575"/>
      <c r="N15" s="2575"/>
      <c r="O15" s="2575"/>
      <c r="P15" s="2575"/>
      <c r="Q15" s="2575"/>
      <c r="R15" s="2575"/>
      <c r="S15" s="2577"/>
      <c r="T15" s="977"/>
      <c r="U15" s="978"/>
      <c r="V15" s="978"/>
      <c r="W15" s="978"/>
      <c r="X15" s="978"/>
      <c r="Y15" s="978"/>
      <c r="Z15" s="978"/>
      <c r="AA15" s="978"/>
      <c r="AB15" s="978"/>
      <c r="AC15" s="978"/>
    </row>
    <row r="16" spans="1:34" ht="14.25" x14ac:dyDescent="0.3">
      <c r="A16" s="1489"/>
      <c r="B16" s="1398"/>
      <c r="C16" s="1417" t="str">
        <f t="shared" ref="C16:C24" si="7">C4</f>
        <v>Zůstatková hodnota</v>
      </c>
      <c r="D16" s="1698"/>
      <c r="E16" s="1497">
        <f>-1*'10 Finanční analýza (FRR_C)'!E22</f>
        <v>0</v>
      </c>
      <c r="F16" s="1497">
        <f>-1*'10 Finanční analýza (FRR_C)'!F22</f>
        <v>0</v>
      </c>
      <c r="G16" s="1497">
        <f>-1*'10 Finanční analýza (FRR_C)'!G22</f>
        <v>0</v>
      </c>
      <c r="H16" s="1497">
        <f>-1*'10 Finanční analýza (FRR_C)'!H22</f>
        <v>0</v>
      </c>
      <c r="I16" s="1497">
        <f>-1*'10 Finanční analýza (FRR_C)'!I22</f>
        <v>0</v>
      </c>
      <c r="J16" s="1497">
        <f>-1*'10 Finanční analýza (FRR_C)'!J22</f>
        <v>0</v>
      </c>
      <c r="K16" s="1497">
        <f>-1*'10 Finanční analýza (FRR_C)'!K22</f>
        <v>0</v>
      </c>
      <c r="L16" s="1497">
        <f>-1*'10 Finanční analýza (FRR_C)'!L22</f>
        <v>0</v>
      </c>
      <c r="M16" s="1497">
        <f>-1*'10 Finanční analýza (FRR_C)'!M22</f>
        <v>0</v>
      </c>
      <c r="N16" s="1497">
        <f>-1*'10 Finanční analýza (FRR_C)'!N22</f>
        <v>0</v>
      </c>
      <c r="O16" s="1497">
        <f>-1*'10 Finanční analýza (FRR_C)'!O22</f>
        <v>0</v>
      </c>
      <c r="P16" s="1497">
        <f>-1*'10 Finanční analýza (FRR_C)'!P22</f>
        <v>0</v>
      </c>
      <c r="Q16" s="1497">
        <f>-1*'10 Finanční analýza (FRR_C)'!Q22</f>
        <v>0</v>
      </c>
      <c r="R16" s="1497">
        <f>-1*'10 Finanční analýza (FRR_C)'!R22</f>
        <v>0</v>
      </c>
      <c r="S16" s="1509">
        <f>-1*'10 Finanční analýza (FRR_C)'!S22</f>
        <v>37866348.040484771</v>
      </c>
      <c r="T16" s="1371"/>
      <c r="U16" s="1371"/>
      <c r="V16" s="1371"/>
      <c r="W16" s="1371"/>
      <c r="X16" s="1371"/>
      <c r="Y16" s="1371"/>
      <c r="Z16" s="1371"/>
      <c r="AA16" s="1371"/>
      <c r="AB16" s="1371"/>
      <c r="AC16" s="1371"/>
    </row>
    <row r="17" spans="1:29" ht="14.25" x14ac:dyDescent="0.3">
      <c r="A17" s="1489"/>
      <c r="B17" s="1398"/>
      <c r="C17" s="1417" t="str">
        <f t="shared" si="7"/>
        <v>Přírůstek celkových provozních příjmů</v>
      </c>
      <c r="D17" s="1698"/>
      <c r="E17" s="1508">
        <f>IF('10 Finanční analýza (FRR_C)'!$S$29="SILNIČNÍ",'10 Finanční analýza (FRR_C)'!E17,'14 Mezera ve financování'!E15)</f>
        <v>0</v>
      </c>
      <c r="F17" s="1497">
        <f>IF('10 Finanční analýza (FRR_C)'!$S$29="SILNIČNÍ",'10 Finanční analýza (FRR_C)'!F17,'14 Mezera ve financování'!F15)</f>
        <v>0</v>
      </c>
      <c r="G17" s="1497">
        <f>IF('10 Finanční analýza (FRR_C)'!$S$29="SILNIČNÍ",'10 Finanční analýza (FRR_C)'!G17,'14 Mezera ve financování'!G15)</f>
        <v>0</v>
      </c>
      <c r="H17" s="1497">
        <f>IF('10 Finanční analýza (FRR_C)'!$S$29="SILNIČNÍ",'10 Finanční analýza (FRR_C)'!H17,'14 Mezera ve financování'!H15)</f>
        <v>0</v>
      </c>
      <c r="I17" s="1497">
        <f>IF('10 Finanční analýza (FRR_C)'!$S$29="SILNIČNÍ",'10 Finanční analýza (FRR_C)'!I17,'14 Mezera ve financování'!I15)</f>
        <v>0</v>
      </c>
      <c r="J17" s="1497">
        <f>IF('10 Finanční analýza (FRR_C)'!$S$29="SILNIČNÍ",'10 Finanční analýza (FRR_C)'!J17,'14 Mezera ve financování'!J15)</f>
        <v>0</v>
      </c>
      <c r="K17" s="1497">
        <f>IF('10 Finanční analýza (FRR_C)'!$S$29="SILNIČNÍ",'10 Finanční analýza (FRR_C)'!K17,'14 Mezera ve financování'!K15)</f>
        <v>0</v>
      </c>
      <c r="L17" s="1497">
        <f>IF('10 Finanční analýza (FRR_C)'!$S$29="SILNIČNÍ",'10 Finanční analýza (FRR_C)'!L17,'14 Mezera ve financování'!L15)</f>
        <v>0</v>
      </c>
      <c r="M17" s="1497">
        <f>IF('10 Finanční analýza (FRR_C)'!$S$29="SILNIČNÍ",'10 Finanční analýza (FRR_C)'!M17,'14 Mezera ve financování'!M15)</f>
        <v>0</v>
      </c>
      <c r="N17" s="1497">
        <f>IF('10 Finanční analýza (FRR_C)'!$S$29="SILNIČNÍ",'10 Finanční analýza (FRR_C)'!N17,'14 Mezera ve financování'!N15)</f>
        <v>0</v>
      </c>
      <c r="O17" s="1497">
        <f>IF('10 Finanční analýza (FRR_C)'!$S$29="SILNIČNÍ",'10 Finanční analýza (FRR_C)'!O17,'14 Mezera ve financování'!O15)</f>
        <v>0</v>
      </c>
      <c r="P17" s="1497">
        <f>IF('10 Finanční analýza (FRR_C)'!$S$29="SILNIČNÍ",'10 Finanční analýza (FRR_C)'!P17,'14 Mezera ve financování'!P15)</f>
        <v>0</v>
      </c>
      <c r="Q17" s="1497">
        <f>IF('10 Finanční analýza (FRR_C)'!$S$29="SILNIČNÍ",'10 Finanční analýza (FRR_C)'!Q17,'14 Mezera ve financování'!Q15)</f>
        <v>0</v>
      </c>
      <c r="R17" s="1497">
        <f>IF('10 Finanční analýza (FRR_C)'!$S$29="SILNIČNÍ",'10 Finanční analýza (FRR_C)'!R17,'14 Mezera ve financování'!R15)</f>
        <v>0</v>
      </c>
      <c r="S17" s="1509">
        <f>IF('10 Finanční analýza (FRR_C)'!$S$29="SILNIČNÍ",'10 Finanční analýza (FRR_C)'!S17,'14 Mezera ve financování'!S15)</f>
        <v>0</v>
      </c>
      <c r="T17" s="1371"/>
      <c r="U17" s="1371"/>
      <c r="V17" s="1371"/>
      <c r="W17" s="1371"/>
      <c r="X17" s="1371"/>
      <c r="Y17" s="1371"/>
      <c r="Z17" s="1371"/>
      <c r="AA17" s="1371"/>
      <c r="AB17" s="1371"/>
      <c r="AC17" s="1371"/>
    </row>
    <row r="18" spans="1:29" ht="14.25" x14ac:dyDescent="0.3">
      <c r="B18" s="1578"/>
      <c r="C18" s="1498" t="str">
        <f t="shared" si="7"/>
        <v>Celkové příjmy</v>
      </c>
      <c r="D18" s="1492"/>
      <c r="E18" s="1525">
        <f>SUM(E16:E17)</f>
        <v>0</v>
      </c>
      <c r="F18" s="1499">
        <f t="shared" ref="F18:S18" si="8">SUM(F16:F17)</f>
        <v>0</v>
      </c>
      <c r="G18" s="1499">
        <f t="shared" si="8"/>
        <v>0</v>
      </c>
      <c r="H18" s="1499">
        <f t="shared" si="8"/>
        <v>0</v>
      </c>
      <c r="I18" s="1499">
        <f t="shared" si="8"/>
        <v>0</v>
      </c>
      <c r="J18" s="1499">
        <f t="shared" si="8"/>
        <v>0</v>
      </c>
      <c r="K18" s="1499">
        <f t="shared" si="8"/>
        <v>0</v>
      </c>
      <c r="L18" s="1499">
        <f t="shared" si="8"/>
        <v>0</v>
      </c>
      <c r="M18" s="1499">
        <f t="shared" si="8"/>
        <v>0</v>
      </c>
      <c r="N18" s="1499">
        <f t="shared" si="8"/>
        <v>0</v>
      </c>
      <c r="O18" s="1499">
        <f t="shared" si="8"/>
        <v>0</v>
      </c>
      <c r="P18" s="1499">
        <f t="shared" si="8"/>
        <v>0</v>
      </c>
      <c r="Q18" s="1499">
        <f t="shared" si="8"/>
        <v>0</v>
      </c>
      <c r="R18" s="1499">
        <f t="shared" si="8"/>
        <v>0</v>
      </c>
      <c r="S18" s="1526">
        <f t="shared" si="8"/>
        <v>37866348.040484771</v>
      </c>
      <c r="T18" s="1374"/>
      <c r="U18" s="1374"/>
      <c r="V18" s="1374"/>
      <c r="W18" s="1374"/>
      <c r="X18" s="1374"/>
      <c r="Y18" s="1374"/>
      <c r="Z18" s="1374"/>
      <c r="AA18" s="1374"/>
      <c r="AB18" s="1374"/>
      <c r="AC18" s="1374"/>
    </row>
    <row r="19" spans="1:29" ht="14.25" x14ac:dyDescent="0.3">
      <c r="A19" s="1489"/>
      <c r="B19" s="1406"/>
      <c r="C19" s="1417" t="str">
        <f t="shared" si="7"/>
        <v>Přírůstkové celkové provozní náklady*</v>
      </c>
      <c r="D19" s="1698"/>
      <c r="E19" s="1508">
        <f>IF('10 Finanční analýza (FRR_C)'!$S$29="SILNIČNÍ",'10 Finanční analýza (FRR_C)'!E19,'13 Kontrola dotací'!E44)</f>
        <v>0</v>
      </c>
      <c r="F19" s="1497">
        <f>IF('10 Finanční analýza (FRR_C)'!$S$29="SILNIČNÍ",'10 Finanční analýza (FRR_C)'!F19,'13 Kontrola dotací'!F44)</f>
        <v>0</v>
      </c>
      <c r="G19" s="1497">
        <f>IF('10 Finanční analýza (FRR_C)'!$S$29="SILNIČNÍ",'10 Finanční analýza (FRR_C)'!G19,'13 Kontrola dotací'!G44)</f>
        <v>0</v>
      </c>
      <c r="H19" s="1497">
        <f>IF('10 Finanční analýza (FRR_C)'!$S$29="SILNIČNÍ",'10 Finanční analýza (FRR_C)'!H19,'13 Kontrola dotací'!H44)</f>
        <v>0</v>
      </c>
      <c r="I19" s="1497">
        <f>IF('10 Finanční analýza (FRR_C)'!$S$29="SILNIČNÍ",'10 Finanční analýza (FRR_C)'!I19,'13 Kontrola dotací'!I44)</f>
        <v>0</v>
      </c>
      <c r="J19" s="1497">
        <f>IF('10 Finanční analýza (FRR_C)'!$S$29="SILNIČNÍ",'10 Finanční analýza (FRR_C)'!J19,'13 Kontrola dotací'!J44)</f>
        <v>0</v>
      </c>
      <c r="K19" s="1497">
        <f>IF('10 Finanční analýza (FRR_C)'!$S$29="SILNIČNÍ",'10 Finanční analýza (FRR_C)'!K19,'13 Kontrola dotací'!K44)</f>
        <v>0</v>
      </c>
      <c r="L19" s="1497">
        <f>IF('10 Finanční analýza (FRR_C)'!$S$29="SILNIČNÍ",'10 Finanční analýza (FRR_C)'!L19,'13 Kontrola dotací'!L44)</f>
        <v>0</v>
      </c>
      <c r="M19" s="1497">
        <f>IF('10 Finanční analýza (FRR_C)'!$S$29="SILNIČNÍ",'10 Finanční analýza (FRR_C)'!M19,'13 Kontrola dotací'!M44)</f>
        <v>0</v>
      </c>
      <c r="N19" s="1497">
        <f>IF('10 Finanční analýza (FRR_C)'!$S$29="SILNIČNÍ",'10 Finanční analýza (FRR_C)'!N19,'13 Kontrola dotací'!N44)</f>
        <v>0</v>
      </c>
      <c r="O19" s="1497">
        <f>IF('10 Finanční analýza (FRR_C)'!$S$29="SILNIČNÍ",'10 Finanční analýza (FRR_C)'!O19,'13 Kontrola dotací'!O44)</f>
        <v>0</v>
      </c>
      <c r="P19" s="1497">
        <f>IF('10 Finanční analýza (FRR_C)'!$S$29="SILNIČNÍ",'10 Finanční analýza (FRR_C)'!P19,'13 Kontrola dotací'!P44)</f>
        <v>0</v>
      </c>
      <c r="Q19" s="1497">
        <f>IF('10 Finanční analýza (FRR_C)'!$S$29="SILNIČNÍ",'10 Finanční analýza (FRR_C)'!Q19,'13 Kontrola dotací'!Q44)</f>
        <v>0</v>
      </c>
      <c r="R19" s="1497">
        <f>IF('10 Finanční analýza (FRR_C)'!$S$29="SILNIČNÍ",'10 Finanční analýza (FRR_C)'!R19,'13 Kontrola dotací'!R44)</f>
        <v>0</v>
      </c>
      <c r="S19" s="1509">
        <f>IF('10 Finanční analýza (FRR_C)'!$S$29="SILNIČNÍ",'10 Finanční analýza (FRR_C)'!S19,'13 Kontrola dotací'!S44)</f>
        <v>0</v>
      </c>
      <c r="T19" s="1371"/>
      <c r="U19" s="1371"/>
      <c r="V19" s="1371"/>
      <c r="W19" s="1371"/>
      <c r="X19" s="1371"/>
      <c r="Y19" s="1371"/>
      <c r="Z19" s="1371"/>
      <c r="AA19" s="1371"/>
      <c r="AB19" s="1371"/>
      <c r="AC19" s="1371"/>
    </row>
    <row r="20" spans="1:29" ht="14.25" x14ac:dyDescent="0.3">
      <c r="A20" s="1489"/>
      <c r="B20" s="1406"/>
      <c r="C20" s="1609" t="str">
        <f t="shared" si="7"/>
        <v>Příspěvky žadatele + národní zdroje</v>
      </c>
      <c r="D20" s="1698"/>
      <c r="E20" s="1508">
        <f>'15 Finanční struktura'!E21+'15 Finanční struktura'!E24</f>
        <v>0</v>
      </c>
      <c r="F20" s="1497">
        <f>'15 Finanční struktura'!F21+'15 Finanční struktura'!F24</f>
        <v>0</v>
      </c>
      <c r="G20" s="1497">
        <f>'15 Finanční struktura'!G21+'15 Finanční struktura'!G24</f>
        <v>0</v>
      </c>
      <c r="H20" s="1497">
        <f>'15 Finanční struktura'!H21+'15 Finanční struktura'!H24</f>
        <v>0</v>
      </c>
      <c r="I20" s="1497">
        <f>'15 Finanční struktura'!I21+'15 Finanční struktura'!I24</f>
        <v>0</v>
      </c>
      <c r="J20" s="1497">
        <f>'15 Finanční struktura'!J21+'15 Finanční struktura'!J24</f>
        <v>0</v>
      </c>
      <c r="K20" s="1497">
        <f>'15 Finanční struktura'!K21+'15 Finanční struktura'!K24</f>
        <v>0</v>
      </c>
      <c r="L20" s="1497">
        <f>'15 Finanční struktura'!L21+'15 Finanční struktura'!L24</f>
        <v>0</v>
      </c>
      <c r="M20" s="1497">
        <f>'15 Finanční struktura'!M21+'15 Finanční struktura'!M24</f>
        <v>0</v>
      </c>
      <c r="N20" s="1497">
        <f>'15 Finanční struktura'!N21+'15 Finanční struktura'!N24</f>
        <v>0</v>
      </c>
      <c r="O20" s="1497">
        <f>'15 Finanční struktura'!O21+'15 Finanční struktura'!O24</f>
        <v>0</v>
      </c>
      <c r="P20" s="1497">
        <f>'15 Finanční struktura'!P21+'15 Finanční struktura'!P24</f>
        <v>0</v>
      </c>
      <c r="Q20" s="1497">
        <f>'15 Finanční struktura'!Q21+'15 Finanční struktura'!Q24</f>
        <v>0</v>
      </c>
      <c r="R20" s="1497">
        <f>'15 Finanční struktura'!R21+'15 Finanční struktura'!R24</f>
        <v>0</v>
      </c>
      <c r="S20" s="1509">
        <f>'15 Finanční struktura'!S21+'15 Finanční struktura'!S24</f>
        <v>0</v>
      </c>
      <c r="T20" s="1371"/>
      <c r="U20" s="1371"/>
      <c r="V20" s="1371"/>
      <c r="W20" s="1371"/>
      <c r="X20" s="1371"/>
      <c r="Y20" s="1371"/>
      <c r="Z20" s="1371"/>
      <c r="AA20" s="1371"/>
      <c r="AB20" s="1371"/>
      <c r="AC20" s="1371"/>
    </row>
    <row r="21" spans="1:29" ht="14.25" x14ac:dyDescent="0.3">
      <c r="B21" s="1578"/>
      <c r="C21" s="1498" t="str">
        <f t="shared" si="7"/>
        <v>Celkové náklady</v>
      </c>
      <c r="D21" s="1492"/>
      <c r="E21" s="1525">
        <f t="shared" ref="E21:S21" si="9">SUM(E19:E20)</f>
        <v>0</v>
      </c>
      <c r="F21" s="1499">
        <f t="shared" si="9"/>
        <v>0</v>
      </c>
      <c r="G21" s="1499">
        <f t="shared" si="9"/>
        <v>0</v>
      </c>
      <c r="H21" s="1499">
        <f t="shared" si="9"/>
        <v>0</v>
      </c>
      <c r="I21" s="1499">
        <f t="shared" si="9"/>
        <v>0</v>
      </c>
      <c r="J21" s="1499">
        <f t="shared" si="9"/>
        <v>0</v>
      </c>
      <c r="K21" s="1499">
        <f t="shared" si="9"/>
        <v>0</v>
      </c>
      <c r="L21" s="1499">
        <f t="shared" si="9"/>
        <v>0</v>
      </c>
      <c r="M21" s="1499">
        <f t="shared" si="9"/>
        <v>0</v>
      </c>
      <c r="N21" s="1499">
        <f t="shared" si="9"/>
        <v>0</v>
      </c>
      <c r="O21" s="1499">
        <f t="shared" si="9"/>
        <v>0</v>
      </c>
      <c r="P21" s="1499">
        <f t="shared" si="9"/>
        <v>0</v>
      </c>
      <c r="Q21" s="1499">
        <f t="shared" si="9"/>
        <v>0</v>
      </c>
      <c r="R21" s="1499">
        <f t="shared" si="9"/>
        <v>0</v>
      </c>
      <c r="S21" s="1526">
        <f t="shared" si="9"/>
        <v>0</v>
      </c>
      <c r="T21" s="1374"/>
      <c r="U21" s="1374"/>
      <c r="V21" s="1374"/>
      <c r="W21" s="1374"/>
      <c r="X21" s="1374"/>
      <c r="Y21" s="1374"/>
      <c r="Z21" s="1374"/>
      <c r="AA21" s="1374"/>
      <c r="AB21" s="1374"/>
      <c r="AC21" s="1374"/>
    </row>
    <row r="22" spans="1:29" ht="14.25" x14ac:dyDescent="0.3">
      <c r="B22" s="1579"/>
      <c r="C22" s="1380" t="str">
        <f t="shared" si="7"/>
        <v xml:space="preserve">Cash Flow </v>
      </c>
      <c r="D22" s="1680"/>
      <c r="E22" s="1527">
        <f t="shared" ref="E22:S22" si="10">E18-E21</f>
        <v>0</v>
      </c>
      <c r="F22" s="1500">
        <f t="shared" si="10"/>
        <v>0</v>
      </c>
      <c r="G22" s="1500">
        <f t="shared" si="10"/>
        <v>0</v>
      </c>
      <c r="H22" s="1500">
        <f t="shared" si="10"/>
        <v>0</v>
      </c>
      <c r="I22" s="1500">
        <f t="shared" si="10"/>
        <v>0</v>
      </c>
      <c r="J22" s="1500">
        <f t="shared" si="10"/>
        <v>0</v>
      </c>
      <c r="K22" s="1500">
        <f t="shared" si="10"/>
        <v>0</v>
      </c>
      <c r="L22" s="1500">
        <f t="shared" si="10"/>
        <v>0</v>
      </c>
      <c r="M22" s="1500">
        <f t="shared" si="10"/>
        <v>0</v>
      </c>
      <c r="N22" s="1500">
        <f t="shared" si="10"/>
        <v>0</v>
      </c>
      <c r="O22" s="1500">
        <f t="shared" si="10"/>
        <v>0</v>
      </c>
      <c r="P22" s="1500">
        <f t="shared" si="10"/>
        <v>0</v>
      </c>
      <c r="Q22" s="1500">
        <f t="shared" si="10"/>
        <v>0</v>
      </c>
      <c r="R22" s="1500">
        <f t="shared" si="10"/>
        <v>0</v>
      </c>
      <c r="S22" s="1528">
        <f t="shared" si="10"/>
        <v>37866348.040484771</v>
      </c>
      <c r="T22" s="1381"/>
      <c r="U22" s="1381"/>
      <c r="V22" s="1381"/>
      <c r="W22" s="1381"/>
      <c r="X22" s="1381"/>
      <c r="Y22" s="1381"/>
      <c r="Z22" s="1381"/>
      <c r="AA22" s="1381"/>
      <c r="AB22" s="1381"/>
      <c r="AC22" s="1374"/>
    </row>
    <row r="23" spans="1:29" ht="14.25" x14ac:dyDescent="0.3">
      <c r="A23" s="1489"/>
      <c r="B23" s="1398"/>
      <c r="C23" s="1418" t="str">
        <f t="shared" si="7"/>
        <v>Diskontní sazba</v>
      </c>
      <c r="D23" s="1699">
        <f>D11</f>
        <v>0.04</v>
      </c>
      <c r="E23" s="1530">
        <f>S11*1/(1+$D$11)</f>
        <v>0.55526450271327488</v>
      </c>
      <c r="F23" s="1501">
        <f>E23*1/(1+$D$11)</f>
        <v>0.53390817568584126</v>
      </c>
      <c r="G23" s="1501">
        <f t="shared" ref="G23:S23" si="11">F23*1/(1+$D$11)</f>
        <v>0.51337324585177047</v>
      </c>
      <c r="H23" s="1501">
        <f t="shared" si="11"/>
        <v>0.49362812101131776</v>
      </c>
      <c r="I23" s="1501">
        <f t="shared" si="11"/>
        <v>0.47464242404934398</v>
      </c>
      <c r="J23" s="1501">
        <f t="shared" si="11"/>
        <v>0.45638694620129228</v>
      </c>
      <c r="K23" s="1501">
        <f t="shared" si="11"/>
        <v>0.4388336021166272</v>
      </c>
      <c r="L23" s="1501">
        <f t="shared" si="11"/>
        <v>0.42195538665060306</v>
      </c>
      <c r="M23" s="1501">
        <f t="shared" si="11"/>
        <v>0.40572633331788754</v>
      </c>
      <c r="N23" s="1501">
        <f t="shared" si="11"/>
        <v>0.39012147434412264</v>
      </c>
      <c r="O23" s="1501">
        <f t="shared" si="11"/>
        <v>0.37511680225396404</v>
      </c>
      <c r="P23" s="1501">
        <f t="shared" si="11"/>
        <v>0.3606892329365039</v>
      </c>
      <c r="Q23" s="1501">
        <f t="shared" si="11"/>
        <v>0.34681657013125372</v>
      </c>
      <c r="R23" s="1501">
        <f t="shared" si="11"/>
        <v>0.33347747128005162</v>
      </c>
      <c r="S23" s="1531">
        <f t="shared" si="11"/>
        <v>0.32065141469235731</v>
      </c>
      <c r="T23" s="1382"/>
      <c r="U23" s="1382"/>
      <c r="V23" s="1382"/>
      <c r="W23" s="1382"/>
      <c r="X23" s="1382"/>
      <c r="Y23" s="1382"/>
      <c r="Z23" s="1382"/>
      <c r="AA23" s="1382"/>
      <c r="AB23" s="1382"/>
      <c r="AC23" s="1382"/>
    </row>
    <row r="24" spans="1:29" ht="15" thickBot="1" x14ac:dyDescent="0.35">
      <c r="B24" s="1700"/>
      <c r="C24" s="1616" t="str">
        <f t="shared" si="7"/>
        <v>Diskontované cash flow</v>
      </c>
      <c r="D24" s="1701"/>
      <c r="E24" s="1520">
        <f t="shared" ref="E24:S24" si="12">E22*E23</f>
        <v>0</v>
      </c>
      <c r="F24" s="1521">
        <f t="shared" si="12"/>
        <v>0</v>
      </c>
      <c r="G24" s="1521">
        <f t="shared" si="12"/>
        <v>0</v>
      </c>
      <c r="H24" s="1521">
        <f t="shared" si="12"/>
        <v>0</v>
      </c>
      <c r="I24" s="1521">
        <f t="shared" si="12"/>
        <v>0</v>
      </c>
      <c r="J24" s="1521">
        <f t="shared" si="12"/>
        <v>0</v>
      </c>
      <c r="K24" s="1521">
        <f t="shared" si="12"/>
        <v>0</v>
      </c>
      <c r="L24" s="1521">
        <f t="shared" si="12"/>
        <v>0</v>
      </c>
      <c r="M24" s="1521">
        <f t="shared" si="12"/>
        <v>0</v>
      </c>
      <c r="N24" s="1521">
        <f t="shared" si="12"/>
        <v>0</v>
      </c>
      <c r="O24" s="1521">
        <f t="shared" si="12"/>
        <v>0</v>
      </c>
      <c r="P24" s="1521">
        <f t="shared" si="12"/>
        <v>0</v>
      </c>
      <c r="Q24" s="1521">
        <f t="shared" si="12"/>
        <v>0</v>
      </c>
      <c r="R24" s="1521">
        <f t="shared" si="12"/>
        <v>0</v>
      </c>
      <c r="S24" s="1522">
        <f t="shared" si="12"/>
        <v>12141898.068414614</v>
      </c>
      <c r="T24" s="1374"/>
      <c r="U24" s="1374"/>
      <c r="V24" s="1374"/>
      <c r="W24" s="1374"/>
      <c r="X24" s="1374"/>
      <c r="Y24" s="1374"/>
      <c r="Z24" s="1374"/>
      <c r="AA24" s="1374"/>
      <c r="AB24" s="1374"/>
      <c r="AC24" s="1374"/>
    </row>
    <row r="25" spans="1:29" ht="17.25" customHeight="1" thickBot="1" x14ac:dyDescent="0.35"/>
    <row r="26" spans="1:29" s="950" customFormat="1" x14ac:dyDescent="0.25">
      <c r="B26" s="1688" t="str">
        <f>IF('0 Úvod'!$M$10="English",Slovnik!D704,Slovnik!C704)</f>
        <v>Finanční vniřní výnosové procento kapitálu FRR/K**</v>
      </c>
      <c r="C26" s="1695"/>
      <c r="D26" s="1695"/>
      <c r="E26" s="1502" t="e">
        <f>ROUND(IRR((E10:S10,E22:S22),0.05),4)</f>
        <v>#NUM!</v>
      </c>
      <c r="G26" s="1888"/>
      <c r="I26" s="954"/>
      <c r="J26" s="954"/>
      <c r="K26" s="954"/>
      <c r="L26" s="954"/>
      <c r="M26" s="954"/>
      <c r="N26" s="955"/>
      <c r="O26" s="955"/>
    </row>
    <row r="27" spans="1:29" s="950" customFormat="1" ht="14.25" thickBot="1" x14ac:dyDescent="0.3">
      <c r="B27" s="1691" t="str">
        <f>IF('0 Úvod'!$M$10="English",Slovnik!D705,Slovnik!C705)</f>
        <v>Finanční čistá současná hodnota kapitálu FNPV/K (CZK)</v>
      </c>
      <c r="C27" s="1694"/>
      <c r="D27" s="1694"/>
      <c r="E27" s="1386">
        <f>SUM(E12:S12,E24:S24)</f>
        <v>18948906.204509288</v>
      </c>
      <c r="G27" s="959"/>
      <c r="H27" s="959"/>
      <c r="I27" s="959"/>
      <c r="J27" s="959"/>
      <c r="K27" s="959"/>
      <c r="L27" s="959"/>
      <c r="M27" s="959"/>
      <c r="N27" s="960"/>
      <c r="O27" s="960"/>
    </row>
    <row r="28" spans="1:29" ht="15" thickBot="1" x14ac:dyDescent="0.35">
      <c r="B28" s="1691" t="str">
        <f>IF('0 Úvod'!$M$10="English",Slovnik!D706,Slovnik!C706)</f>
        <v>Finanční čistá současná hodnota kapitálu FNPV/K (EUR)</v>
      </c>
      <c r="C28" s="1694"/>
      <c r="D28" s="1694"/>
      <c r="E28" s="1386">
        <f>E27/'0 Úvod'!N18</f>
        <v>738460.88092397852</v>
      </c>
    </row>
    <row r="29" spans="1:29" ht="14.25" thickBot="1" x14ac:dyDescent="0.35">
      <c r="B29" s="23"/>
      <c r="C29" s="1681"/>
    </row>
    <row r="30" spans="1:29" x14ac:dyDescent="0.3">
      <c r="B30" s="2286" t="str">
        <f>IF('0 Úvod'!$M$10="English",Slovnik!$D$707,Slovnik!$C$707)</f>
        <v>Komentáře</v>
      </c>
      <c r="C30" s="2287"/>
      <c r="D30" s="2655"/>
    </row>
    <row r="31" spans="1:29" ht="14.25" thickBot="1" x14ac:dyDescent="0.35">
      <c r="B31" s="2711"/>
      <c r="C31" s="2532"/>
      <c r="D31" s="2712"/>
      <c r="I31" s="962"/>
    </row>
    <row r="32" spans="1:29" ht="14.25" x14ac:dyDescent="0.3">
      <c r="B32" s="1682" t="str">
        <f>IF('0 Úvod'!$M$10="English",Slovnik!$D$708,Slovnik!$C$708)</f>
        <v>* čistá úspora prov. nákladů po odečtení úspory dotace (dle listu 6)</v>
      </c>
      <c r="C32" s="1683"/>
      <c r="D32" s="1684"/>
    </row>
    <row r="33" spans="2:9" ht="15" thickBot="1" x14ac:dyDescent="0.35">
      <c r="B33" s="1685" t="str">
        <f>IF('0 Úvod'!$M$10="English",Slovnik!$D$709,Slovnik!$C$709)</f>
        <v>** pokud se zobrazí "CHYBA", zkonrolujte list 15 Finanční struktura</v>
      </c>
      <c r="C33" s="991"/>
      <c r="D33" s="1686"/>
    </row>
    <row r="34" spans="2:9" x14ac:dyDescent="0.3">
      <c r="I34" s="962"/>
    </row>
  </sheetData>
  <sheetProtection algorithmName="SHA-512" hashValue="2vaPpAEm5tK8vhT+1EpQVmhnmt7imhU2P2t2KIDLsvRu9PEmguxPCHseLCMFyTw+u9PIDQOzvNu9ZtW656RvDw==" saltValue="/LJTlHgjd48mZ4pIKrqIvQ==" spinCount="100000" sheet="1" formatCells="0" formatColumns="0" formatRows="0" insertColumns="0" insertRows="0" insertHyperlinks="0" deleteColumns="0" deleteRows="0" sort="0" autoFilter="0" pivotTables="0"/>
  <mergeCells count="31">
    <mergeCell ref="E2:E3"/>
    <mergeCell ref="S2:S3"/>
    <mergeCell ref="J14:J15"/>
    <mergeCell ref="K14:K15"/>
    <mergeCell ref="S14:S15"/>
    <mergeCell ref="F2:F3"/>
    <mergeCell ref="N2:N3"/>
    <mergeCell ref="P2:P3"/>
    <mergeCell ref="Q2:Q3"/>
    <mergeCell ref="R2:R3"/>
    <mergeCell ref="Q14:Q15"/>
    <mergeCell ref="R14:R15"/>
    <mergeCell ref="G2:G3"/>
    <mergeCell ref="H2:H3"/>
    <mergeCell ref="J2:J3"/>
    <mergeCell ref="L2:L3"/>
    <mergeCell ref="I2:I3"/>
    <mergeCell ref="K2:K3"/>
    <mergeCell ref="O2:O3"/>
    <mergeCell ref="L14:L15"/>
    <mergeCell ref="M14:M15"/>
    <mergeCell ref="N14:N15"/>
    <mergeCell ref="M2:M3"/>
    <mergeCell ref="O14:O15"/>
    <mergeCell ref="B30:D31"/>
    <mergeCell ref="P14:P15"/>
    <mergeCell ref="E14:E15"/>
    <mergeCell ref="F14:F15"/>
    <mergeCell ref="G14:G15"/>
    <mergeCell ref="H14:H15"/>
    <mergeCell ref="I14:I15"/>
  </mergeCells>
  <phoneticPr fontId="3" type="noConversion"/>
  <conditionalFormatting sqref="G26">
    <cfRule type="cellIs" dxfId="1" priority="1" stopIfTrue="1" operator="equal">
      <formula>"OK"</formula>
    </cfRule>
    <cfRule type="cellIs" dxfId="0" priority="2" stopIfTrue="1" operator="equal">
      <formula>"CHYBA!"</formula>
    </cfRule>
  </conditionalFormatting>
  <pageMargins left="0.39370078740157483" right="0.15748031496062992" top="0.98425196850393704" bottom="0.78740157480314965" header="0.39370078740157483" footer="0.39370078740157483"/>
  <pageSetup paperSize="9" scale="59" fitToHeight="0" orientation="landscape" r:id="rId1"/>
  <headerFooter alignWithMargins="0">
    <oddFooter>&amp;L&amp;A&amp;C&amp;D</oddFooter>
  </headerFooter>
  <ignoredErrors>
    <ignoredError sqref="D6"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1:Z44"/>
  <sheetViews>
    <sheetView zoomScale="80" zoomScaleNormal="80" workbookViewId="0"/>
  </sheetViews>
  <sheetFormatPr defaultRowHeight="13.5" x14ac:dyDescent="0.25"/>
  <cols>
    <col min="1" max="1" width="2.7109375" style="97" customWidth="1"/>
    <col min="2" max="2" width="9.28515625" style="97" bestFit="1" customWidth="1"/>
    <col min="3" max="6" width="13.28515625" style="97" customWidth="1"/>
    <col min="7" max="7" width="22.7109375" style="97" customWidth="1"/>
    <col min="8" max="11" width="13.28515625" style="97" customWidth="1"/>
    <col min="12" max="12" width="22.7109375" style="97" customWidth="1"/>
    <col min="13" max="13" width="9.42578125" style="97" customWidth="1"/>
    <col min="14" max="14" width="9.28515625" style="97" bestFit="1" customWidth="1"/>
    <col min="15" max="20" width="11.5703125" style="97" customWidth="1"/>
    <col min="21" max="26" width="11.140625" style="97" customWidth="1"/>
    <col min="27" max="16384" width="9.140625" style="97"/>
  </cols>
  <sheetData>
    <row r="1" spans="2:26" ht="14.25" thickBot="1" x14ac:dyDescent="0.3">
      <c r="B1" s="103"/>
      <c r="C1" s="103"/>
      <c r="D1" s="103"/>
      <c r="E1" s="103"/>
      <c r="F1" s="103"/>
      <c r="G1" s="103"/>
      <c r="H1" s="103"/>
      <c r="I1" s="1779"/>
      <c r="J1" s="1779"/>
      <c r="K1" s="1779"/>
      <c r="L1" s="1806" t="str">
        <f>IF('0 Úvod'!$M$10="English",CONCATENATE("[",Slovnik!D730,'0 Úvod'!D18,"]"),CONCATENATE("[",Slovnik!C730,'0 Úvod'!D18,"]"))</f>
        <v>[diskontované fin. toky v mil. Kč, CÚ 2020]</v>
      </c>
      <c r="Z1" s="1806" t="s">
        <v>693</v>
      </c>
    </row>
    <row r="2" spans="2:26" x14ac:dyDescent="0.25">
      <c r="B2" s="2730" t="str">
        <f>IF('0 Úvod'!$M$10="English",Slovnik!$D$720,Slovnik!$C$720)</f>
        <v>VSTUPY z HDM-4 a EXNAD - finanční toky</v>
      </c>
      <c r="C2" s="2731"/>
      <c r="D2" s="2731"/>
      <c r="E2" s="2731"/>
      <c r="F2" s="2731"/>
      <c r="G2" s="2731"/>
      <c r="H2" s="2731"/>
      <c r="I2" s="2731"/>
      <c r="J2" s="2731"/>
      <c r="K2" s="2731"/>
      <c r="L2" s="2732"/>
      <c r="N2" s="2730" t="str">
        <f>IF('0 Úvod'!$M$10="English",Slovnik!$D$721,Slovnik!$C$721)</f>
        <v>VSTUPY z EXNAD - množství škodlivin</v>
      </c>
      <c r="O2" s="2731"/>
      <c r="P2" s="2731"/>
      <c r="Q2" s="2731"/>
      <c r="R2" s="2731"/>
      <c r="S2" s="2731"/>
      <c r="T2" s="2731"/>
      <c r="U2" s="2731"/>
      <c r="V2" s="2731"/>
      <c r="W2" s="2731"/>
      <c r="X2" s="2731"/>
      <c r="Y2" s="2731"/>
      <c r="Z2" s="2732"/>
    </row>
    <row r="3" spans="2:26" ht="14.25" thickBot="1" x14ac:dyDescent="0.3">
      <c r="B3" s="2733"/>
      <c r="C3" s="2734"/>
      <c r="D3" s="2734"/>
      <c r="E3" s="2734"/>
      <c r="F3" s="2734"/>
      <c r="G3" s="2734"/>
      <c r="H3" s="2734"/>
      <c r="I3" s="2734"/>
      <c r="J3" s="2734"/>
      <c r="K3" s="2734"/>
      <c r="L3" s="2735"/>
      <c r="N3" s="2733"/>
      <c r="O3" s="2734"/>
      <c r="P3" s="2734"/>
      <c r="Q3" s="2734"/>
      <c r="R3" s="2734"/>
      <c r="S3" s="2734"/>
      <c r="T3" s="2734"/>
      <c r="U3" s="2734"/>
      <c r="V3" s="2734"/>
      <c r="W3" s="2734"/>
      <c r="X3" s="2734"/>
      <c r="Y3" s="2734"/>
      <c r="Z3" s="2735"/>
    </row>
    <row r="4" spans="2:26" ht="14.25" thickBot="1" x14ac:dyDescent="0.3">
      <c r="B4" s="2725" t="str">
        <f>IF('0 Úvod'!$M$10="English",Slovnik!$D$22,Slovnik!$C$22)</f>
        <v>rok</v>
      </c>
      <c r="C4" s="2715" t="str">
        <f>IF('0 Úvod'!$M$10="English",Slovnik!$D$710,Slovnik!$C$710)</f>
        <v>Základní varianta = Bez projektu</v>
      </c>
      <c r="D4" s="2716"/>
      <c r="E4" s="2716"/>
      <c r="F4" s="2716"/>
      <c r="G4" s="2716"/>
      <c r="H4" s="2717" t="str">
        <f>IF('0 Úvod'!$M$10="English",Slovnik!$D$711,Slovnik!$C$711)</f>
        <v>Návrhová varianta = Projektová</v>
      </c>
      <c r="I4" s="2718"/>
      <c r="J4" s="2718"/>
      <c r="K4" s="2718"/>
      <c r="L4" s="2719"/>
      <c r="N4" s="2742" t="str">
        <f>IF('0 Úvod'!$M$10="English",Slovnik!$D$22,Slovnik!$C$22)</f>
        <v>rok</v>
      </c>
      <c r="O4" s="2745" t="str">
        <f>IF('0 Úvod'!$M$10="English",Slovnik!$D$722,Slovnik!$C$722)</f>
        <v>Varianta bez projektu</v>
      </c>
      <c r="P4" s="2746"/>
      <c r="Q4" s="2746"/>
      <c r="R4" s="2746"/>
      <c r="S4" s="2746"/>
      <c r="T4" s="2747"/>
      <c r="U4" s="2713" t="str">
        <f>IF('0 Úvod'!$M$10="English",Slovnik!$D$723,Slovnik!$C$723)</f>
        <v>Varianta s projektem</v>
      </c>
      <c r="V4" s="2713"/>
      <c r="W4" s="2713"/>
      <c r="X4" s="2713"/>
      <c r="Y4" s="2713"/>
      <c r="Z4" s="2714"/>
    </row>
    <row r="5" spans="2:26" ht="14.25" x14ac:dyDescent="0.3">
      <c r="B5" s="2726"/>
      <c r="C5" s="2720" t="s">
        <v>677</v>
      </c>
      <c r="D5" s="2721"/>
      <c r="E5" s="2721"/>
      <c r="F5" s="2721"/>
      <c r="G5" s="1775" t="s">
        <v>678</v>
      </c>
      <c r="H5" s="2720" t="s">
        <v>677</v>
      </c>
      <c r="I5" s="2721"/>
      <c r="J5" s="2721"/>
      <c r="K5" s="2721"/>
      <c r="L5" s="1775" t="s">
        <v>678</v>
      </c>
      <c r="N5" s="2743"/>
      <c r="O5" s="2739" t="str">
        <f>IF('0 Úvod'!$M$10="English",Slovnik!$D$724,Slovnik!$C$724)</f>
        <v>Emise PM10</v>
      </c>
      <c r="P5" s="2722" t="str">
        <f>IF('0 Úvod'!$M$10="English",Slovnik!$D$725,Slovnik!$C$725)</f>
        <v>Emise PM2,5</v>
      </c>
      <c r="Q5" s="2722" t="str">
        <f>IF('0 Úvod'!$M$10="English",Slovnik!$D$726,Slovnik!$C$726)</f>
        <v>Emise SO2</v>
      </c>
      <c r="R5" s="2722" t="str">
        <f>IF('0 Úvod'!$M$10="English",Slovnik!$D$727,Slovnik!$C$727)</f>
        <v>Emise NOx</v>
      </c>
      <c r="S5" s="2722" t="str">
        <f>IF('0 Úvod'!$M$10="English",Slovnik!$D$728,Slovnik!$C$728)</f>
        <v>Emise VOC</v>
      </c>
      <c r="T5" s="2736" t="str">
        <f>IF('0 Úvod'!$M$10="English",Slovnik!$D$729,Slovnik!$C$729)</f>
        <v>Emise CO2</v>
      </c>
      <c r="U5" s="2739" t="str">
        <f>O5</f>
        <v>Emise PM10</v>
      </c>
      <c r="V5" s="2722" t="str">
        <f t="shared" ref="V5:Z5" si="0">P5</f>
        <v>Emise PM2,5</v>
      </c>
      <c r="W5" s="2722" t="str">
        <f t="shared" si="0"/>
        <v>Emise SO2</v>
      </c>
      <c r="X5" s="2722" t="str">
        <f t="shared" si="0"/>
        <v>Emise NOx</v>
      </c>
      <c r="Y5" s="2722" t="str">
        <f t="shared" si="0"/>
        <v>Emise VOC</v>
      </c>
      <c r="Z5" s="2736" t="str">
        <f t="shared" si="0"/>
        <v>Emise CO2</v>
      </c>
    </row>
    <row r="6" spans="2:26" ht="15" customHeight="1" x14ac:dyDescent="0.25">
      <c r="B6" s="2726"/>
      <c r="C6" s="2728" t="str">
        <f>IF('0 Úvod'!$M$10="English",Slovnik!$D$712,Slovnik!$C$712)</f>
        <v>hodnoty z výstupu "Project Cash Flow Summary (Discounted)"</v>
      </c>
      <c r="D6" s="2729"/>
      <c r="E6" s="2729"/>
      <c r="F6" s="2729"/>
      <c r="G6" s="1810" t="str">
        <f>IF('0 Úvod'!$M$10="English",Slovnik!$D$713,Slovnik!$C$713)</f>
        <v>ext_var_0 diskontované</v>
      </c>
      <c r="H6" s="2728" t="str">
        <f>IF('0 Úvod'!$M$10="English",Slovnik!$D$712,Slovnik!$C$712)</f>
        <v>hodnoty z výstupu "Project Cash Flow Summary (Discounted)"</v>
      </c>
      <c r="I6" s="2729"/>
      <c r="J6" s="2729"/>
      <c r="K6" s="2729"/>
      <c r="L6" s="1810" t="str">
        <f>IF('0 Úvod'!$M$10="English",Slovnik!$D$714,Slovnik!$C$714)</f>
        <v>ext_var_1 diskontované</v>
      </c>
      <c r="N6" s="2743"/>
      <c r="O6" s="2740"/>
      <c r="P6" s="2723"/>
      <c r="Q6" s="2723"/>
      <c r="R6" s="2723"/>
      <c r="S6" s="2723"/>
      <c r="T6" s="2737"/>
      <c r="U6" s="2740"/>
      <c r="V6" s="2723"/>
      <c r="W6" s="2723"/>
      <c r="X6" s="2723"/>
      <c r="Y6" s="2723"/>
      <c r="Z6" s="2737"/>
    </row>
    <row r="7" spans="2:26" ht="14.25" customHeight="1" thickBot="1" x14ac:dyDescent="0.3">
      <c r="B7" s="2727"/>
      <c r="C7" s="1776" t="str">
        <f>IF('0 Úvod'!$M$10="English",Slovnik!$D$715,Slovnik!$C$715)</f>
        <v xml:space="preserve">Správce </v>
      </c>
      <c r="D7" s="1777" t="str">
        <f>IF('0 Úvod'!$M$10="English",Slovnik!$D$716,Slovnik!$C$716)</f>
        <v>Provozní</v>
      </c>
      <c r="E7" s="1777" t="str">
        <f>IF('0 Úvod'!$M$10="English",Slovnik!$D$717,Slovnik!$C$717)</f>
        <v xml:space="preserve">Cestovní čas </v>
      </c>
      <c r="F7" s="1777" t="str">
        <f>IF('0 Úvod'!$M$10="English",Slovnik!$D$718,Slovnik!$C$718)</f>
        <v>Nehody</v>
      </c>
      <c r="G7" s="1778" t="str">
        <f>IF('0 Úvod'!$M$10="English",Slovnik!$D$719,Slovnik!$C$719)</f>
        <v>Externí náklady hluk</v>
      </c>
      <c r="H7" s="1776" t="str">
        <f>C7</f>
        <v xml:space="preserve">Správce </v>
      </c>
      <c r="I7" s="1777" t="str">
        <f>D7</f>
        <v>Provozní</v>
      </c>
      <c r="J7" s="1777" t="str">
        <f>E7</f>
        <v xml:space="preserve">Cestovní čas </v>
      </c>
      <c r="K7" s="1777" t="str">
        <f>F7</f>
        <v>Nehody</v>
      </c>
      <c r="L7" s="1778" t="str">
        <f>G7</f>
        <v>Externí náklady hluk</v>
      </c>
      <c r="N7" s="2744"/>
      <c r="O7" s="2741"/>
      <c r="P7" s="2724"/>
      <c r="Q7" s="2724"/>
      <c r="R7" s="2724"/>
      <c r="S7" s="2724"/>
      <c r="T7" s="2738"/>
      <c r="U7" s="2741"/>
      <c r="V7" s="2724"/>
      <c r="W7" s="2724"/>
      <c r="X7" s="2724"/>
      <c r="Y7" s="2724"/>
      <c r="Z7" s="2738"/>
    </row>
    <row r="8" spans="2:26" ht="14.25" x14ac:dyDescent="0.25">
      <c r="B8" s="1804">
        <f>'0 Úvod'!$G$18</f>
        <v>2021</v>
      </c>
      <c r="C8" s="1780"/>
      <c r="D8" s="1781"/>
      <c r="E8" s="1781"/>
      <c r="F8" s="1781"/>
      <c r="G8" s="1782"/>
      <c r="H8" s="1780"/>
      <c r="I8" s="1781"/>
      <c r="J8" s="1781"/>
      <c r="K8" s="1783"/>
      <c r="L8" s="1782"/>
      <c r="M8" s="1784"/>
      <c r="N8" s="1807">
        <f>B8</f>
        <v>2021</v>
      </c>
      <c r="O8" s="1785"/>
      <c r="P8" s="1786"/>
      <c r="Q8" s="1786"/>
      <c r="R8" s="1786"/>
      <c r="S8" s="1786"/>
      <c r="T8" s="1787"/>
      <c r="U8" s="1785"/>
      <c r="V8" s="1786"/>
      <c r="W8" s="1786"/>
      <c r="X8" s="1786"/>
      <c r="Y8" s="1786"/>
      <c r="Z8" s="1787"/>
    </row>
    <row r="9" spans="2:26" ht="14.25" x14ac:dyDescent="0.25">
      <c r="B9" s="1804">
        <f>B8+1</f>
        <v>2022</v>
      </c>
      <c r="C9" s="1788"/>
      <c r="D9" s="1789"/>
      <c r="E9" s="1789"/>
      <c r="F9" s="1789"/>
      <c r="G9" s="1790"/>
      <c r="H9" s="1788"/>
      <c r="I9" s="1789"/>
      <c r="J9" s="1789"/>
      <c r="K9" s="1791"/>
      <c r="L9" s="1790"/>
      <c r="M9" s="1784"/>
      <c r="N9" s="1808">
        <f>N8+1</f>
        <v>2022</v>
      </c>
      <c r="O9" s="1792"/>
      <c r="P9" s="1793"/>
      <c r="Q9" s="1793"/>
      <c r="R9" s="1793"/>
      <c r="S9" s="1793"/>
      <c r="T9" s="1794"/>
      <c r="U9" s="1792"/>
      <c r="V9" s="1793"/>
      <c r="W9" s="1793"/>
      <c r="X9" s="1793"/>
      <c r="Y9" s="1793"/>
      <c r="Z9" s="1794"/>
    </row>
    <row r="10" spans="2:26" ht="14.25" x14ac:dyDescent="0.25">
      <c r="B10" s="1804">
        <f>B9+1</f>
        <v>2023</v>
      </c>
      <c r="C10" s="1788"/>
      <c r="D10" s="1789"/>
      <c r="E10" s="1789"/>
      <c r="F10" s="1789"/>
      <c r="G10" s="1790"/>
      <c r="H10" s="1788"/>
      <c r="I10" s="1789"/>
      <c r="J10" s="1789"/>
      <c r="K10" s="1791"/>
      <c r="L10" s="1790"/>
      <c r="M10" s="1784"/>
      <c r="N10" s="1808">
        <f t="shared" ref="N10:N37" si="1">N9+1</f>
        <v>2023</v>
      </c>
      <c r="O10" s="1792"/>
      <c r="P10" s="1793"/>
      <c r="Q10" s="1793"/>
      <c r="R10" s="1793"/>
      <c r="S10" s="1793"/>
      <c r="T10" s="1794"/>
      <c r="U10" s="1792"/>
      <c r="V10" s="1793"/>
      <c r="W10" s="1793"/>
      <c r="X10" s="1793"/>
      <c r="Y10" s="1793"/>
      <c r="Z10" s="1794"/>
    </row>
    <row r="11" spans="2:26" ht="14.25" x14ac:dyDescent="0.25">
      <c r="B11" s="1804">
        <f t="shared" ref="B11:B37" si="2">B10+1</f>
        <v>2024</v>
      </c>
      <c r="C11" s="1788"/>
      <c r="D11" s="1789"/>
      <c r="E11" s="1789"/>
      <c r="F11" s="1789"/>
      <c r="G11" s="1790"/>
      <c r="H11" s="1788"/>
      <c r="I11" s="1789"/>
      <c r="J11" s="1789"/>
      <c r="K11" s="1791"/>
      <c r="L11" s="1790"/>
      <c r="M11" s="1784"/>
      <c r="N11" s="1808">
        <f t="shared" si="1"/>
        <v>2024</v>
      </c>
      <c r="O11" s="1792"/>
      <c r="P11" s="1793"/>
      <c r="Q11" s="1793"/>
      <c r="R11" s="1793"/>
      <c r="S11" s="1793"/>
      <c r="T11" s="1794"/>
      <c r="U11" s="1792"/>
      <c r="V11" s="1793"/>
      <c r="W11" s="1793"/>
      <c r="X11" s="1793"/>
      <c r="Y11" s="1793"/>
      <c r="Z11" s="1794"/>
    </row>
    <row r="12" spans="2:26" ht="14.25" x14ac:dyDescent="0.25">
      <c r="B12" s="1804">
        <f t="shared" si="2"/>
        <v>2025</v>
      </c>
      <c r="C12" s="1788"/>
      <c r="D12" s="1789"/>
      <c r="E12" s="1789"/>
      <c r="F12" s="1789"/>
      <c r="G12" s="1790"/>
      <c r="H12" s="1788"/>
      <c r="I12" s="1789"/>
      <c r="J12" s="1789"/>
      <c r="K12" s="1791"/>
      <c r="L12" s="1790"/>
      <c r="M12" s="1784"/>
      <c r="N12" s="1808">
        <f t="shared" si="1"/>
        <v>2025</v>
      </c>
      <c r="O12" s="1792"/>
      <c r="P12" s="1793"/>
      <c r="Q12" s="1793"/>
      <c r="R12" s="1793"/>
      <c r="S12" s="1793"/>
      <c r="T12" s="1794"/>
      <c r="U12" s="1792"/>
      <c r="V12" s="1793"/>
      <c r="W12" s="1793"/>
      <c r="X12" s="1793"/>
      <c r="Y12" s="1793"/>
      <c r="Z12" s="1794"/>
    </row>
    <row r="13" spans="2:26" ht="14.25" x14ac:dyDescent="0.25">
      <c r="B13" s="1804">
        <f t="shared" si="2"/>
        <v>2026</v>
      </c>
      <c r="C13" s="1788"/>
      <c r="D13" s="1789"/>
      <c r="E13" s="1789"/>
      <c r="F13" s="1789"/>
      <c r="G13" s="1790"/>
      <c r="H13" s="1788"/>
      <c r="I13" s="1789"/>
      <c r="J13" s="1789"/>
      <c r="K13" s="1791"/>
      <c r="L13" s="1790"/>
      <c r="M13" s="1784"/>
      <c r="N13" s="1808">
        <f t="shared" si="1"/>
        <v>2026</v>
      </c>
      <c r="O13" s="1792"/>
      <c r="P13" s="1793"/>
      <c r="Q13" s="1793"/>
      <c r="R13" s="1793"/>
      <c r="S13" s="1793"/>
      <c r="T13" s="1794"/>
      <c r="U13" s="1792"/>
      <c r="V13" s="1793"/>
      <c r="W13" s="1793"/>
      <c r="X13" s="1793"/>
      <c r="Y13" s="1793"/>
      <c r="Z13" s="1794"/>
    </row>
    <row r="14" spans="2:26" ht="14.25" x14ac:dyDescent="0.25">
      <c r="B14" s="1804">
        <f t="shared" si="2"/>
        <v>2027</v>
      </c>
      <c r="C14" s="1788"/>
      <c r="D14" s="1789"/>
      <c r="E14" s="1789"/>
      <c r="F14" s="1789"/>
      <c r="G14" s="1790"/>
      <c r="H14" s="1788"/>
      <c r="I14" s="1789"/>
      <c r="J14" s="1789"/>
      <c r="K14" s="1791"/>
      <c r="L14" s="1790"/>
      <c r="M14" s="1784"/>
      <c r="N14" s="1808">
        <f t="shared" si="1"/>
        <v>2027</v>
      </c>
      <c r="O14" s="1792"/>
      <c r="P14" s="1793"/>
      <c r="Q14" s="1793"/>
      <c r="R14" s="1793"/>
      <c r="S14" s="1793"/>
      <c r="T14" s="1794"/>
      <c r="U14" s="1792"/>
      <c r="V14" s="1793"/>
      <c r="W14" s="1793"/>
      <c r="X14" s="1793"/>
      <c r="Y14" s="1793"/>
      <c r="Z14" s="1794"/>
    </row>
    <row r="15" spans="2:26" ht="14.25" x14ac:dyDescent="0.25">
      <c r="B15" s="1804">
        <f t="shared" si="2"/>
        <v>2028</v>
      </c>
      <c r="C15" s="1788"/>
      <c r="D15" s="1789"/>
      <c r="E15" s="1789"/>
      <c r="F15" s="1789"/>
      <c r="G15" s="1790"/>
      <c r="H15" s="1788"/>
      <c r="I15" s="1789"/>
      <c r="J15" s="1789"/>
      <c r="K15" s="1791"/>
      <c r="L15" s="1790"/>
      <c r="M15" s="1784"/>
      <c r="N15" s="1808">
        <f t="shared" si="1"/>
        <v>2028</v>
      </c>
      <c r="O15" s="1792"/>
      <c r="P15" s="1793"/>
      <c r="Q15" s="1793"/>
      <c r="R15" s="1793"/>
      <c r="S15" s="1793"/>
      <c r="T15" s="1794"/>
      <c r="U15" s="1792"/>
      <c r="V15" s="1793"/>
      <c r="W15" s="1793"/>
      <c r="X15" s="1793"/>
      <c r="Y15" s="1793"/>
      <c r="Z15" s="1794"/>
    </row>
    <row r="16" spans="2:26" ht="14.25" x14ac:dyDescent="0.25">
      <c r="B16" s="1804">
        <f t="shared" si="2"/>
        <v>2029</v>
      </c>
      <c r="C16" s="1788"/>
      <c r="D16" s="1789"/>
      <c r="E16" s="1789"/>
      <c r="F16" s="1789"/>
      <c r="G16" s="1790"/>
      <c r="H16" s="1788"/>
      <c r="I16" s="1789"/>
      <c r="J16" s="1789"/>
      <c r="K16" s="1791"/>
      <c r="L16" s="1790"/>
      <c r="M16" s="1784"/>
      <c r="N16" s="1808">
        <f t="shared" si="1"/>
        <v>2029</v>
      </c>
      <c r="O16" s="1792"/>
      <c r="P16" s="1793"/>
      <c r="Q16" s="1793"/>
      <c r="R16" s="1793"/>
      <c r="S16" s="1793"/>
      <c r="T16" s="1794"/>
      <c r="U16" s="1792"/>
      <c r="V16" s="1793"/>
      <c r="W16" s="1793"/>
      <c r="X16" s="1793"/>
      <c r="Y16" s="1793"/>
      <c r="Z16" s="1794"/>
    </row>
    <row r="17" spans="2:26" ht="14.25" x14ac:dyDescent="0.25">
      <c r="B17" s="1804">
        <f t="shared" si="2"/>
        <v>2030</v>
      </c>
      <c r="C17" s="1788"/>
      <c r="D17" s="1789"/>
      <c r="E17" s="1789"/>
      <c r="F17" s="1789"/>
      <c r="G17" s="1790"/>
      <c r="H17" s="1788"/>
      <c r="I17" s="1789"/>
      <c r="J17" s="1789"/>
      <c r="K17" s="1791"/>
      <c r="L17" s="1790"/>
      <c r="M17" s="1784"/>
      <c r="N17" s="1808">
        <f t="shared" si="1"/>
        <v>2030</v>
      </c>
      <c r="O17" s="1792"/>
      <c r="P17" s="1793"/>
      <c r="Q17" s="1793"/>
      <c r="R17" s="1793"/>
      <c r="S17" s="1793"/>
      <c r="T17" s="1794"/>
      <c r="U17" s="1792"/>
      <c r="V17" s="1793"/>
      <c r="W17" s="1793"/>
      <c r="X17" s="1793"/>
      <c r="Y17" s="1793"/>
      <c r="Z17" s="1794"/>
    </row>
    <row r="18" spans="2:26" ht="14.25" x14ac:dyDescent="0.25">
      <c r="B18" s="1804">
        <f t="shared" si="2"/>
        <v>2031</v>
      </c>
      <c r="C18" s="1788"/>
      <c r="D18" s="1789"/>
      <c r="E18" s="1789"/>
      <c r="F18" s="1789"/>
      <c r="G18" s="1790"/>
      <c r="H18" s="1788"/>
      <c r="I18" s="1789"/>
      <c r="J18" s="1789"/>
      <c r="K18" s="1791"/>
      <c r="L18" s="1790"/>
      <c r="M18" s="1784"/>
      <c r="N18" s="1808">
        <f t="shared" si="1"/>
        <v>2031</v>
      </c>
      <c r="O18" s="1792"/>
      <c r="P18" s="1793"/>
      <c r="Q18" s="1793"/>
      <c r="R18" s="1793"/>
      <c r="S18" s="1793"/>
      <c r="T18" s="1794"/>
      <c r="U18" s="1792"/>
      <c r="V18" s="1793"/>
      <c r="W18" s="1793"/>
      <c r="X18" s="1793"/>
      <c r="Y18" s="1793"/>
      <c r="Z18" s="1794"/>
    </row>
    <row r="19" spans="2:26" ht="14.25" x14ac:dyDescent="0.25">
      <c r="B19" s="1804">
        <f t="shared" si="2"/>
        <v>2032</v>
      </c>
      <c r="C19" s="1788"/>
      <c r="D19" s="1789"/>
      <c r="E19" s="1789"/>
      <c r="F19" s="1789"/>
      <c r="G19" s="1790"/>
      <c r="H19" s="1788"/>
      <c r="I19" s="1789"/>
      <c r="J19" s="1789"/>
      <c r="K19" s="1791"/>
      <c r="L19" s="1790"/>
      <c r="M19" s="1784"/>
      <c r="N19" s="1808">
        <f t="shared" si="1"/>
        <v>2032</v>
      </c>
      <c r="O19" s="1792"/>
      <c r="P19" s="1793"/>
      <c r="Q19" s="1793"/>
      <c r="R19" s="1793"/>
      <c r="S19" s="1793"/>
      <c r="T19" s="1794"/>
      <c r="U19" s="1792"/>
      <c r="V19" s="1793"/>
      <c r="W19" s="1793"/>
      <c r="X19" s="1793"/>
      <c r="Y19" s="1793"/>
      <c r="Z19" s="1794"/>
    </row>
    <row r="20" spans="2:26" ht="14.25" x14ac:dyDescent="0.25">
      <c r="B20" s="1804">
        <f t="shared" si="2"/>
        <v>2033</v>
      </c>
      <c r="C20" s="1788"/>
      <c r="D20" s="1789"/>
      <c r="E20" s="1789"/>
      <c r="F20" s="1789"/>
      <c r="G20" s="1790"/>
      <c r="H20" s="1788"/>
      <c r="I20" s="1789"/>
      <c r="J20" s="1789"/>
      <c r="K20" s="1791"/>
      <c r="L20" s="1790"/>
      <c r="M20" s="1784"/>
      <c r="N20" s="1808">
        <f t="shared" si="1"/>
        <v>2033</v>
      </c>
      <c r="O20" s="1792"/>
      <c r="P20" s="1793"/>
      <c r="Q20" s="1793"/>
      <c r="R20" s="1793"/>
      <c r="S20" s="1793"/>
      <c r="T20" s="1794"/>
      <c r="U20" s="1792"/>
      <c r="V20" s="1793"/>
      <c r="W20" s="1793"/>
      <c r="X20" s="1793"/>
      <c r="Y20" s="1793"/>
      <c r="Z20" s="1794"/>
    </row>
    <row r="21" spans="2:26" ht="14.25" x14ac:dyDescent="0.25">
      <c r="B21" s="1804">
        <f t="shared" si="2"/>
        <v>2034</v>
      </c>
      <c r="C21" s="1788"/>
      <c r="D21" s="1789"/>
      <c r="E21" s="1789"/>
      <c r="F21" s="1789"/>
      <c r="G21" s="1790"/>
      <c r="H21" s="1788"/>
      <c r="I21" s="1789"/>
      <c r="J21" s="1789"/>
      <c r="K21" s="1791"/>
      <c r="L21" s="1790"/>
      <c r="M21" s="1784"/>
      <c r="N21" s="1808">
        <f t="shared" si="1"/>
        <v>2034</v>
      </c>
      <c r="O21" s="1792"/>
      <c r="P21" s="1793"/>
      <c r="Q21" s="1793"/>
      <c r="R21" s="1793"/>
      <c r="S21" s="1793"/>
      <c r="T21" s="1794"/>
      <c r="U21" s="1792"/>
      <c r="V21" s="1793"/>
      <c r="W21" s="1793"/>
      <c r="X21" s="1793"/>
      <c r="Y21" s="1793"/>
      <c r="Z21" s="1794"/>
    </row>
    <row r="22" spans="2:26" ht="14.25" x14ac:dyDescent="0.25">
      <c r="B22" s="1804">
        <f t="shared" si="2"/>
        <v>2035</v>
      </c>
      <c r="C22" s="1788"/>
      <c r="D22" s="1789"/>
      <c r="E22" s="1789"/>
      <c r="F22" s="1789"/>
      <c r="G22" s="1790"/>
      <c r="H22" s="1788"/>
      <c r="I22" s="1789"/>
      <c r="J22" s="1789"/>
      <c r="K22" s="1791"/>
      <c r="L22" s="1790"/>
      <c r="M22" s="1784"/>
      <c r="N22" s="1808">
        <f t="shared" si="1"/>
        <v>2035</v>
      </c>
      <c r="O22" s="1792"/>
      <c r="P22" s="1793"/>
      <c r="Q22" s="1793"/>
      <c r="R22" s="1793"/>
      <c r="S22" s="1793"/>
      <c r="T22" s="1794"/>
      <c r="U22" s="1792"/>
      <c r="V22" s="1793"/>
      <c r="W22" s="1793"/>
      <c r="X22" s="1793"/>
      <c r="Y22" s="1793"/>
      <c r="Z22" s="1794"/>
    </row>
    <row r="23" spans="2:26" ht="14.25" x14ac:dyDescent="0.25">
      <c r="B23" s="1804">
        <f t="shared" si="2"/>
        <v>2036</v>
      </c>
      <c r="C23" s="1788"/>
      <c r="D23" s="1789"/>
      <c r="E23" s="1789"/>
      <c r="F23" s="1789"/>
      <c r="G23" s="1790"/>
      <c r="H23" s="1788"/>
      <c r="I23" s="1789"/>
      <c r="J23" s="1789"/>
      <c r="K23" s="1791"/>
      <c r="L23" s="1790"/>
      <c r="M23" s="1784"/>
      <c r="N23" s="1808">
        <f t="shared" si="1"/>
        <v>2036</v>
      </c>
      <c r="O23" s="1792"/>
      <c r="P23" s="1793"/>
      <c r="Q23" s="1793"/>
      <c r="R23" s="1793"/>
      <c r="S23" s="1793"/>
      <c r="T23" s="1794"/>
      <c r="U23" s="1792"/>
      <c r="V23" s="1793"/>
      <c r="W23" s="1793"/>
      <c r="X23" s="1793"/>
      <c r="Y23" s="1793"/>
      <c r="Z23" s="1794"/>
    </row>
    <row r="24" spans="2:26" ht="14.25" x14ac:dyDescent="0.25">
      <c r="B24" s="1804">
        <f t="shared" si="2"/>
        <v>2037</v>
      </c>
      <c r="C24" s="1788"/>
      <c r="D24" s="1789"/>
      <c r="E24" s="1789"/>
      <c r="F24" s="1789"/>
      <c r="G24" s="1790"/>
      <c r="H24" s="1788"/>
      <c r="I24" s="1789"/>
      <c r="J24" s="1789"/>
      <c r="K24" s="1791"/>
      <c r="L24" s="1790"/>
      <c r="M24" s="1784"/>
      <c r="N24" s="1808">
        <f t="shared" si="1"/>
        <v>2037</v>
      </c>
      <c r="O24" s="1792"/>
      <c r="P24" s="1793"/>
      <c r="Q24" s="1793"/>
      <c r="R24" s="1793"/>
      <c r="S24" s="1793"/>
      <c r="T24" s="1794"/>
      <c r="U24" s="1792"/>
      <c r="V24" s="1793"/>
      <c r="W24" s="1793"/>
      <c r="X24" s="1793"/>
      <c r="Y24" s="1793"/>
      <c r="Z24" s="1794"/>
    </row>
    <row r="25" spans="2:26" ht="14.25" x14ac:dyDescent="0.25">
      <c r="B25" s="1804">
        <f t="shared" si="2"/>
        <v>2038</v>
      </c>
      <c r="C25" s="1788"/>
      <c r="D25" s="1789"/>
      <c r="E25" s="1789"/>
      <c r="F25" s="1789"/>
      <c r="G25" s="1790"/>
      <c r="H25" s="1788"/>
      <c r="I25" s="1789"/>
      <c r="J25" s="1789"/>
      <c r="K25" s="1791"/>
      <c r="L25" s="1790"/>
      <c r="M25" s="1784"/>
      <c r="N25" s="1808">
        <f t="shared" si="1"/>
        <v>2038</v>
      </c>
      <c r="O25" s="1792"/>
      <c r="P25" s="1793"/>
      <c r="Q25" s="1793"/>
      <c r="R25" s="1793"/>
      <c r="S25" s="1793"/>
      <c r="T25" s="1794"/>
      <c r="U25" s="1792"/>
      <c r="V25" s="1793"/>
      <c r="W25" s="1793"/>
      <c r="X25" s="1793"/>
      <c r="Y25" s="1793"/>
      <c r="Z25" s="1794"/>
    </row>
    <row r="26" spans="2:26" ht="14.25" x14ac:dyDescent="0.25">
      <c r="B26" s="1804">
        <f t="shared" si="2"/>
        <v>2039</v>
      </c>
      <c r="C26" s="1788"/>
      <c r="D26" s="1789"/>
      <c r="E26" s="1789"/>
      <c r="F26" s="1789"/>
      <c r="G26" s="1790"/>
      <c r="H26" s="1788"/>
      <c r="I26" s="1789"/>
      <c r="J26" s="1789"/>
      <c r="K26" s="1791"/>
      <c r="L26" s="1790"/>
      <c r="M26" s="1784"/>
      <c r="N26" s="1808">
        <f t="shared" si="1"/>
        <v>2039</v>
      </c>
      <c r="O26" s="1792"/>
      <c r="P26" s="1793"/>
      <c r="Q26" s="1793"/>
      <c r="R26" s="1793"/>
      <c r="S26" s="1793"/>
      <c r="T26" s="1794"/>
      <c r="U26" s="1792"/>
      <c r="V26" s="1793"/>
      <c r="W26" s="1793"/>
      <c r="X26" s="1793"/>
      <c r="Y26" s="1793"/>
      <c r="Z26" s="1794"/>
    </row>
    <row r="27" spans="2:26" ht="14.25" x14ac:dyDescent="0.25">
      <c r="B27" s="1804">
        <f t="shared" si="2"/>
        <v>2040</v>
      </c>
      <c r="C27" s="1788"/>
      <c r="D27" s="1789"/>
      <c r="E27" s="1789"/>
      <c r="F27" s="1789"/>
      <c r="G27" s="1790"/>
      <c r="H27" s="1788"/>
      <c r="I27" s="1789"/>
      <c r="J27" s="1789"/>
      <c r="K27" s="1791"/>
      <c r="L27" s="1790"/>
      <c r="M27" s="1784"/>
      <c r="N27" s="1808">
        <f t="shared" si="1"/>
        <v>2040</v>
      </c>
      <c r="O27" s="1792"/>
      <c r="P27" s="1793"/>
      <c r="Q27" s="1793"/>
      <c r="R27" s="1793"/>
      <c r="S27" s="1793"/>
      <c r="T27" s="1794"/>
      <c r="U27" s="1792"/>
      <c r="V27" s="1793"/>
      <c r="W27" s="1793"/>
      <c r="X27" s="1793"/>
      <c r="Y27" s="1793"/>
      <c r="Z27" s="1794"/>
    </row>
    <row r="28" spans="2:26" ht="14.25" x14ac:dyDescent="0.25">
      <c r="B28" s="1804">
        <f t="shared" si="2"/>
        <v>2041</v>
      </c>
      <c r="C28" s="1788"/>
      <c r="D28" s="1789"/>
      <c r="E28" s="1789"/>
      <c r="F28" s="1789"/>
      <c r="G28" s="1790"/>
      <c r="H28" s="1788"/>
      <c r="I28" s="1789"/>
      <c r="J28" s="1789"/>
      <c r="K28" s="1791"/>
      <c r="L28" s="1790"/>
      <c r="M28" s="1784"/>
      <c r="N28" s="1808">
        <f t="shared" si="1"/>
        <v>2041</v>
      </c>
      <c r="O28" s="1792"/>
      <c r="P28" s="1793"/>
      <c r="Q28" s="1793"/>
      <c r="R28" s="1793"/>
      <c r="S28" s="1793"/>
      <c r="T28" s="1794"/>
      <c r="U28" s="1792"/>
      <c r="V28" s="1793"/>
      <c r="W28" s="1793"/>
      <c r="X28" s="1793"/>
      <c r="Y28" s="1793"/>
      <c r="Z28" s="1794"/>
    </row>
    <row r="29" spans="2:26" ht="14.25" x14ac:dyDescent="0.25">
      <c r="B29" s="1804">
        <f t="shared" si="2"/>
        <v>2042</v>
      </c>
      <c r="C29" s="1788"/>
      <c r="D29" s="1789"/>
      <c r="E29" s="1789"/>
      <c r="F29" s="1789"/>
      <c r="G29" s="1790"/>
      <c r="H29" s="1788"/>
      <c r="I29" s="1789"/>
      <c r="J29" s="1789"/>
      <c r="K29" s="1791"/>
      <c r="L29" s="1790"/>
      <c r="M29" s="1784"/>
      <c r="N29" s="1808">
        <f t="shared" si="1"/>
        <v>2042</v>
      </c>
      <c r="O29" s="1792"/>
      <c r="P29" s="1793"/>
      <c r="Q29" s="1793"/>
      <c r="R29" s="1793"/>
      <c r="S29" s="1793"/>
      <c r="T29" s="1794"/>
      <c r="U29" s="1792"/>
      <c r="V29" s="1793"/>
      <c r="W29" s="1793"/>
      <c r="X29" s="1793"/>
      <c r="Y29" s="1793"/>
      <c r="Z29" s="1794"/>
    </row>
    <row r="30" spans="2:26" ht="14.25" x14ac:dyDescent="0.25">
      <c r="B30" s="1804">
        <f t="shared" si="2"/>
        <v>2043</v>
      </c>
      <c r="C30" s="1788"/>
      <c r="D30" s="1789"/>
      <c r="E30" s="1789"/>
      <c r="F30" s="1789"/>
      <c r="G30" s="1790"/>
      <c r="H30" s="1788"/>
      <c r="I30" s="1789"/>
      <c r="J30" s="1789"/>
      <c r="K30" s="1791"/>
      <c r="L30" s="1790"/>
      <c r="M30" s="1784"/>
      <c r="N30" s="1808">
        <f t="shared" si="1"/>
        <v>2043</v>
      </c>
      <c r="O30" s="1792"/>
      <c r="P30" s="1793"/>
      <c r="Q30" s="1793"/>
      <c r="R30" s="1793"/>
      <c r="S30" s="1793"/>
      <c r="T30" s="1794"/>
      <c r="U30" s="1792"/>
      <c r="V30" s="1793"/>
      <c r="W30" s="1793"/>
      <c r="X30" s="1793"/>
      <c r="Y30" s="1793"/>
      <c r="Z30" s="1794"/>
    </row>
    <row r="31" spans="2:26" ht="14.25" x14ac:dyDescent="0.25">
      <c r="B31" s="1804">
        <f t="shared" si="2"/>
        <v>2044</v>
      </c>
      <c r="C31" s="1788"/>
      <c r="D31" s="1789"/>
      <c r="E31" s="1789"/>
      <c r="F31" s="1789"/>
      <c r="G31" s="1790"/>
      <c r="H31" s="1788"/>
      <c r="I31" s="1789"/>
      <c r="J31" s="1789"/>
      <c r="K31" s="1791"/>
      <c r="L31" s="1790"/>
      <c r="M31" s="1784"/>
      <c r="N31" s="1808">
        <f t="shared" si="1"/>
        <v>2044</v>
      </c>
      <c r="O31" s="1792"/>
      <c r="P31" s="1793"/>
      <c r="Q31" s="1793"/>
      <c r="R31" s="1793"/>
      <c r="S31" s="1793"/>
      <c r="T31" s="1794"/>
      <c r="U31" s="1792"/>
      <c r="V31" s="1793"/>
      <c r="W31" s="1793"/>
      <c r="X31" s="1793"/>
      <c r="Y31" s="1793"/>
      <c r="Z31" s="1794"/>
    </row>
    <row r="32" spans="2:26" ht="14.25" x14ac:dyDescent="0.25">
      <c r="B32" s="1804">
        <f t="shared" si="2"/>
        <v>2045</v>
      </c>
      <c r="C32" s="1788"/>
      <c r="D32" s="1789"/>
      <c r="E32" s="1789"/>
      <c r="F32" s="1789"/>
      <c r="G32" s="1790"/>
      <c r="H32" s="1788"/>
      <c r="I32" s="1789"/>
      <c r="J32" s="1789"/>
      <c r="K32" s="1791"/>
      <c r="L32" s="1790"/>
      <c r="M32" s="1784"/>
      <c r="N32" s="1808">
        <f t="shared" si="1"/>
        <v>2045</v>
      </c>
      <c r="O32" s="1792"/>
      <c r="P32" s="1793"/>
      <c r="Q32" s="1793"/>
      <c r="R32" s="1793"/>
      <c r="S32" s="1793"/>
      <c r="T32" s="1794"/>
      <c r="U32" s="1792"/>
      <c r="V32" s="1793"/>
      <c r="W32" s="1793"/>
      <c r="X32" s="1793"/>
      <c r="Y32" s="1793"/>
      <c r="Z32" s="1794"/>
    </row>
    <row r="33" spans="2:26" ht="14.25" x14ac:dyDescent="0.25">
      <c r="B33" s="1804">
        <f t="shared" si="2"/>
        <v>2046</v>
      </c>
      <c r="C33" s="1788"/>
      <c r="D33" s="1789"/>
      <c r="E33" s="1789"/>
      <c r="F33" s="1789"/>
      <c r="G33" s="1790"/>
      <c r="H33" s="1788"/>
      <c r="I33" s="1789"/>
      <c r="J33" s="1789"/>
      <c r="K33" s="1791"/>
      <c r="L33" s="1790"/>
      <c r="M33" s="1784"/>
      <c r="N33" s="1808">
        <f t="shared" si="1"/>
        <v>2046</v>
      </c>
      <c r="O33" s="1792"/>
      <c r="P33" s="1793"/>
      <c r="Q33" s="1793"/>
      <c r="R33" s="1793"/>
      <c r="S33" s="1793"/>
      <c r="T33" s="1794"/>
      <c r="U33" s="1792"/>
      <c r="V33" s="1793"/>
      <c r="W33" s="1793"/>
      <c r="X33" s="1793"/>
      <c r="Y33" s="1793"/>
      <c r="Z33" s="1794"/>
    </row>
    <row r="34" spans="2:26" ht="14.25" x14ac:dyDescent="0.25">
      <c r="B34" s="1804">
        <f t="shared" si="2"/>
        <v>2047</v>
      </c>
      <c r="C34" s="1788"/>
      <c r="D34" s="1789"/>
      <c r="E34" s="1789"/>
      <c r="F34" s="1789"/>
      <c r="G34" s="1790"/>
      <c r="H34" s="1788"/>
      <c r="I34" s="1789"/>
      <c r="J34" s="1789"/>
      <c r="K34" s="1791"/>
      <c r="L34" s="1790"/>
      <c r="M34" s="1784"/>
      <c r="N34" s="1808">
        <f t="shared" si="1"/>
        <v>2047</v>
      </c>
      <c r="O34" s="1792"/>
      <c r="P34" s="1793"/>
      <c r="Q34" s="1793"/>
      <c r="R34" s="1793"/>
      <c r="S34" s="1793"/>
      <c r="T34" s="1794"/>
      <c r="U34" s="1792"/>
      <c r="V34" s="1793"/>
      <c r="W34" s="1793"/>
      <c r="X34" s="1793"/>
      <c r="Y34" s="1793"/>
      <c r="Z34" s="1794"/>
    </row>
    <row r="35" spans="2:26" ht="14.25" x14ac:dyDescent="0.25">
      <c r="B35" s="1804">
        <f t="shared" si="2"/>
        <v>2048</v>
      </c>
      <c r="C35" s="1788"/>
      <c r="D35" s="1789"/>
      <c r="E35" s="1789"/>
      <c r="F35" s="1789"/>
      <c r="G35" s="1790"/>
      <c r="H35" s="1788"/>
      <c r="I35" s="1789"/>
      <c r="J35" s="1789"/>
      <c r="K35" s="1791"/>
      <c r="L35" s="1790"/>
      <c r="M35" s="1784"/>
      <c r="N35" s="1808">
        <f t="shared" si="1"/>
        <v>2048</v>
      </c>
      <c r="O35" s="1792"/>
      <c r="P35" s="1793"/>
      <c r="Q35" s="1793"/>
      <c r="R35" s="1793"/>
      <c r="S35" s="1793"/>
      <c r="T35" s="1794"/>
      <c r="U35" s="1792"/>
      <c r="V35" s="1793"/>
      <c r="W35" s="1793"/>
      <c r="X35" s="1793"/>
      <c r="Y35" s="1793"/>
      <c r="Z35" s="1794"/>
    </row>
    <row r="36" spans="2:26" ht="14.25" x14ac:dyDescent="0.25">
      <c r="B36" s="1804">
        <f t="shared" si="2"/>
        <v>2049</v>
      </c>
      <c r="C36" s="1788"/>
      <c r="D36" s="1789"/>
      <c r="E36" s="1789"/>
      <c r="F36" s="1789"/>
      <c r="G36" s="1790"/>
      <c r="H36" s="1788"/>
      <c r="I36" s="1789"/>
      <c r="J36" s="1789"/>
      <c r="K36" s="1791"/>
      <c r="L36" s="1790"/>
      <c r="M36" s="1784"/>
      <c r="N36" s="1808">
        <f t="shared" si="1"/>
        <v>2049</v>
      </c>
      <c r="O36" s="1792"/>
      <c r="P36" s="1793"/>
      <c r="Q36" s="1793"/>
      <c r="R36" s="1793"/>
      <c r="S36" s="1793"/>
      <c r="T36" s="1794"/>
      <c r="U36" s="1792"/>
      <c r="V36" s="1793"/>
      <c r="W36" s="1793"/>
      <c r="X36" s="1793"/>
      <c r="Y36" s="1793"/>
      <c r="Z36" s="1794"/>
    </row>
    <row r="37" spans="2:26" ht="15" thickBot="1" x14ac:dyDescent="0.3">
      <c r="B37" s="1805">
        <f t="shared" si="2"/>
        <v>2050</v>
      </c>
      <c r="C37" s="1795"/>
      <c r="D37" s="1796"/>
      <c r="E37" s="1796"/>
      <c r="F37" s="1796"/>
      <c r="G37" s="1797"/>
      <c r="H37" s="1795"/>
      <c r="I37" s="1796"/>
      <c r="J37" s="1796"/>
      <c r="K37" s="1798"/>
      <c r="L37" s="1797"/>
      <c r="M37" s="1784"/>
      <c r="N37" s="1809">
        <f t="shared" si="1"/>
        <v>2050</v>
      </c>
      <c r="O37" s="1799"/>
      <c r="P37" s="1800"/>
      <c r="Q37" s="1800"/>
      <c r="R37" s="1800"/>
      <c r="S37" s="1800"/>
      <c r="T37" s="1801"/>
      <c r="U37" s="1799"/>
      <c r="V37" s="1800"/>
      <c r="W37" s="1800"/>
      <c r="X37" s="1800"/>
      <c r="Y37" s="1800"/>
      <c r="Z37" s="1801"/>
    </row>
    <row r="38" spans="2:26" x14ac:dyDescent="0.25">
      <c r="E38" s="103"/>
      <c r="F38" s="103"/>
      <c r="G38" s="103"/>
      <c r="O38" s="1802"/>
      <c r="P38" s="1802"/>
      <c r="Q38" s="1802"/>
      <c r="R38" s="1802"/>
      <c r="S38" s="1802"/>
      <c r="T38" s="1802"/>
      <c r="U38" s="1802"/>
      <c r="V38" s="1802"/>
      <c r="W38" s="1802"/>
      <c r="X38" s="1803"/>
      <c r="Y38" s="1803"/>
      <c r="Z38" s="1803"/>
    </row>
    <row r="39" spans="2:26" ht="14.25" thickBot="1" x14ac:dyDescent="0.3"/>
    <row r="40" spans="2:26" x14ac:dyDescent="0.25">
      <c r="B40" s="2578" t="str">
        <f>IF('0 Úvod'!$M$10="English",Slovnik!$D$613,Slovnik!$C$613)</f>
        <v>Komentáře</v>
      </c>
      <c r="C40" s="2579"/>
      <c r="D40" s="2579"/>
      <c r="E40" s="2579"/>
      <c r="F40" s="2579"/>
      <c r="G40" s="2579"/>
      <c r="H40" s="2579"/>
      <c r="I40" s="2579"/>
      <c r="J40" s="2579"/>
      <c r="K40" s="2579"/>
      <c r="L40" s="2579"/>
      <c r="M40" s="2579"/>
      <c r="N40" s="2579"/>
      <c r="O40" s="2579"/>
      <c r="P40" s="2579"/>
      <c r="Q40" s="2579"/>
      <c r="R40" s="2579"/>
      <c r="S40" s="2579"/>
      <c r="T40" s="2652"/>
    </row>
    <row r="41" spans="2:26" ht="14.25" thickBot="1" x14ac:dyDescent="0.3">
      <c r="B41" s="2580"/>
      <c r="C41" s="2581"/>
      <c r="D41" s="2581"/>
      <c r="E41" s="2581"/>
      <c r="F41" s="2581"/>
      <c r="G41" s="2581"/>
      <c r="H41" s="2581"/>
      <c r="I41" s="2581"/>
      <c r="J41" s="2581"/>
      <c r="K41" s="2581"/>
      <c r="L41" s="2581"/>
      <c r="M41" s="2581"/>
      <c r="N41" s="2581"/>
      <c r="O41" s="2581"/>
      <c r="P41" s="2581"/>
      <c r="Q41" s="2581"/>
      <c r="R41" s="2581"/>
      <c r="S41" s="2581"/>
      <c r="T41" s="2653"/>
    </row>
    <row r="42" spans="2:26" ht="14.25" x14ac:dyDescent="0.3">
      <c r="B42" s="1600" t="str">
        <f>IF('0 Úvod'!$M$10="English",Slovnik!$E$721,Slovnik!$E$720)</f>
        <v>Do žlutých polí uživatel vkládá výstupní data z výpočtu v HDM-4 a EXNAD v uvedených jednotkách. Přepočet dále proběhne automaticky v příslušných listech. Kromě nastavení základních parametrů výpočtu v listu "0 Úvod", je třeba vložit ještě investiční</v>
      </c>
      <c r="C42" s="1596"/>
      <c r="D42" s="1597"/>
      <c r="E42" s="1597"/>
      <c r="F42" s="1597"/>
      <c r="G42" s="1598"/>
      <c r="H42" s="1599"/>
      <c r="I42" s="1599"/>
      <c r="J42" s="1599"/>
      <c r="K42" s="1599"/>
      <c r="L42" s="1599"/>
      <c r="M42" s="1599"/>
      <c r="N42" s="1599"/>
      <c r="O42" s="1599"/>
      <c r="P42" s="1599"/>
      <c r="Q42" s="1811"/>
      <c r="R42" s="1811"/>
      <c r="S42" s="1811"/>
      <c r="T42" s="1812"/>
    </row>
    <row r="43" spans="2:26" ht="14.25" x14ac:dyDescent="0.3">
      <c r="B43" s="988" t="str">
        <f>IF('0 Úvod'!$M$10="English",Slovnik!$E$724,Slovnik!$E$723)</f>
        <v>náklady v letech a správném členění do listů "1 CIN" a "2 ZH" (v jednotkách Kč!) a nastavit správně hodnotu koeficientu růstu úspor času a externalit v prvním roce hodnocení v tabulkách 5.8. v listu "5 Úspory času" a 6.19. v listu "6 Externality". V listu "6 Externality"</v>
      </c>
      <c r="C43" s="1815"/>
      <c r="D43" s="1815"/>
      <c r="E43" s="1815"/>
      <c r="F43" s="1815"/>
      <c r="G43" s="1815"/>
      <c r="H43" s="1815"/>
      <c r="I43" s="1815"/>
      <c r="J43" s="1815"/>
      <c r="K43" s="1815"/>
      <c r="L43" s="1815"/>
      <c r="M43" s="1815"/>
      <c r="N43" s="1815"/>
      <c r="O43" s="1815"/>
      <c r="P43" s="1815"/>
      <c r="Q43" s="1815"/>
      <c r="R43" s="1815"/>
      <c r="S43" s="1815"/>
      <c r="T43" s="1816"/>
    </row>
    <row r="44" spans="2:26" ht="15" thickBot="1" x14ac:dyDescent="0.35">
      <c r="B44" s="1736" t="str">
        <f>IF('0 Úvod'!$M$10="English",Slovnik!$E$727,Slovnik!$E$726)</f>
        <v>probíhá i výpočet pro nákladní dopravu v tabulkách pro osobní dopravu, protože výstup z HDM-4 a EXNAD osobní a nákladní dopravu nerozlišuje.</v>
      </c>
      <c r="C44" s="1813"/>
      <c r="D44" s="1813"/>
      <c r="E44" s="1813"/>
      <c r="F44" s="1813"/>
      <c r="G44" s="1813"/>
      <c r="H44" s="1813"/>
      <c r="I44" s="1813"/>
      <c r="J44" s="1813"/>
      <c r="K44" s="1813"/>
      <c r="L44" s="1813"/>
      <c r="M44" s="1813"/>
      <c r="N44" s="1813"/>
      <c r="O44" s="1813"/>
      <c r="P44" s="1813"/>
      <c r="Q44" s="1813"/>
      <c r="R44" s="1813"/>
      <c r="S44" s="1813"/>
      <c r="T44" s="1814"/>
    </row>
  </sheetData>
  <sheetProtection algorithmName="SHA-512" hashValue="FYB16+7eU3Ke2gFLJMxGkk+Ua0xNVIkuT1lRahB4Zz16dwvyAXAyiRS54Qnd9NHm0sN19NqE2MH1YUoJM0Qc8g==" saltValue="xIzt4+ZumzQrzuHCLnGpZw==" spinCount="100000" sheet="1" formatCells="0" formatColumns="0" formatRows="0" insertColumns="0" insertRows="0" insertHyperlinks="0" deleteColumns="0" deleteRows="0" sort="0" autoFilter="0" pivotTables="0"/>
  <mergeCells count="25">
    <mergeCell ref="B2:L3"/>
    <mergeCell ref="X5:X7"/>
    <mergeCell ref="Y5:Y7"/>
    <mergeCell ref="Z5:Z7"/>
    <mergeCell ref="W5:W7"/>
    <mergeCell ref="H5:K5"/>
    <mergeCell ref="N2:Z3"/>
    <mergeCell ref="O5:O7"/>
    <mergeCell ref="P5:P7"/>
    <mergeCell ref="Q5:Q7"/>
    <mergeCell ref="R5:R7"/>
    <mergeCell ref="S5:S7"/>
    <mergeCell ref="T5:T7"/>
    <mergeCell ref="N4:N7"/>
    <mergeCell ref="U5:U7"/>
    <mergeCell ref="O4:T4"/>
    <mergeCell ref="U4:Z4"/>
    <mergeCell ref="B40:T41"/>
    <mergeCell ref="C4:G4"/>
    <mergeCell ref="H4:L4"/>
    <mergeCell ref="C5:F5"/>
    <mergeCell ref="V5:V7"/>
    <mergeCell ref="B4:B7"/>
    <mergeCell ref="C6:F6"/>
    <mergeCell ref="H6:K6"/>
  </mergeCells>
  <pageMargins left="0.7" right="0.7" top="0.78740157499999996" bottom="0.78740157499999996" header="0.3" footer="0.3"/>
  <pageSetup paperSize="192"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pageSetUpPr fitToPage="1"/>
  </sheetPr>
  <dimension ref="A1:V73"/>
  <sheetViews>
    <sheetView defaultGridColor="0" colorId="23" zoomScale="80" zoomScaleNormal="80" zoomScaleSheetLayoutView="70" workbookViewId="0"/>
  </sheetViews>
  <sheetFormatPr defaultColWidth="9.140625" defaultRowHeight="11.25" x14ac:dyDescent="0.2"/>
  <cols>
    <col min="1" max="1" width="2.5703125" style="1" customWidth="1"/>
    <col min="2" max="2" width="5.7109375" style="1" customWidth="1"/>
    <col min="3" max="3" width="41.140625" style="1" customWidth="1"/>
    <col min="4" max="4" width="13.7109375" style="1" customWidth="1"/>
    <col min="5" max="5" width="11.42578125" style="1" customWidth="1"/>
    <col min="6" max="6" width="18.5703125" style="1" customWidth="1"/>
    <col min="7" max="11" width="13.5703125" style="1" bestFit="1" customWidth="1"/>
    <col min="12" max="12" width="10.7109375" style="3" customWidth="1"/>
    <col min="13" max="31" width="10.7109375" style="1" customWidth="1"/>
    <col min="32" max="16384" width="9.140625" style="1"/>
  </cols>
  <sheetData>
    <row r="1" spans="1:22" ht="14.25" thickBot="1" x14ac:dyDescent="0.35">
      <c r="A1" s="23"/>
      <c r="B1" s="24"/>
      <c r="C1" s="24"/>
      <c r="D1" s="24"/>
      <c r="E1" s="25"/>
      <c r="F1" s="26"/>
      <c r="G1" s="27"/>
      <c r="H1" s="27"/>
      <c r="I1" s="27"/>
      <c r="J1" s="27"/>
      <c r="K1" s="27"/>
      <c r="L1" s="27"/>
      <c r="M1" s="27"/>
      <c r="N1" s="27"/>
      <c r="O1" s="27"/>
      <c r="P1" s="27"/>
      <c r="Q1" s="27"/>
      <c r="R1" s="27"/>
      <c r="S1" s="27"/>
      <c r="T1" s="27"/>
      <c r="U1" s="27"/>
    </row>
    <row r="2" spans="1:22" ht="14.25" x14ac:dyDescent="0.3">
      <c r="A2" s="28"/>
      <c r="B2" s="39" t="s">
        <v>15</v>
      </c>
      <c r="C2" s="40" t="str">
        <f>IF('0 Úvod'!$M$10="English",Slovnik!$D$32,Slovnik!$C$32)</f>
        <v>Celkové investiční náklady (CZK) *</v>
      </c>
      <c r="D2" s="41"/>
      <c r="E2" s="41"/>
      <c r="F2" s="42"/>
      <c r="G2" s="1910" t="str">
        <f>IF('0 Úvod'!$M$10="English",Slovnik!$D$47,Slovnik!$C$47)</f>
        <v>V roce</v>
      </c>
      <c r="H2" s="33"/>
      <c r="I2" s="33"/>
      <c r="J2" s="33"/>
      <c r="K2" s="33"/>
      <c r="L2" s="33"/>
      <c r="M2" s="33"/>
      <c r="N2" s="33"/>
      <c r="O2" s="33"/>
      <c r="P2" s="33"/>
      <c r="Q2" s="33"/>
      <c r="R2" s="33"/>
      <c r="S2" s="33"/>
      <c r="T2" s="33"/>
      <c r="U2" s="34"/>
    </row>
    <row r="3" spans="1:22" ht="12.75" customHeight="1" x14ac:dyDescent="0.3">
      <c r="A3" s="23"/>
      <c r="B3" s="166" t="s">
        <v>23</v>
      </c>
      <c r="C3" s="30" t="str">
        <f>IF('0 Úvod'!M10="English",Slovnik!$D$33,Slovnik!$C$33)</f>
        <v>(konstantní ceny)</v>
      </c>
      <c r="D3" s="2259"/>
      <c r="E3" s="2259"/>
      <c r="F3" s="2257" t="str">
        <f>IF('0 Úvod'!$M$10="English",Slovnik!$D$46,Slovnik!$C$46)</f>
        <v>Celkové projektové náklady</v>
      </c>
      <c r="G3" s="1911">
        <f>'0 Úvod'!G18</f>
        <v>2021</v>
      </c>
      <c r="H3" s="31">
        <f>G3+1</f>
        <v>2022</v>
      </c>
      <c r="I3" s="31">
        <f t="shared" ref="I3:U3" si="0">H3+1</f>
        <v>2023</v>
      </c>
      <c r="J3" s="31">
        <f t="shared" si="0"/>
        <v>2024</v>
      </c>
      <c r="K3" s="31">
        <f t="shared" si="0"/>
        <v>2025</v>
      </c>
      <c r="L3" s="31">
        <f t="shared" si="0"/>
        <v>2026</v>
      </c>
      <c r="M3" s="31">
        <f t="shared" si="0"/>
        <v>2027</v>
      </c>
      <c r="N3" s="31">
        <f t="shared" si="0"/>
        <v>2028</v>
      </c>
      <c r="O3" s="31">
        <f t="shared" si="0"/>
        <v>2029</v>
      </c>
      <c r="P3" s="31">
        <f t="shared" si="0"/>
        <v>2030</v>
      </c>
      <c r="Q3" s="31">
        <f t="shared" si="0"/>
        <v>2031</v>
      </c>
      <c r="R3" s="31">
        <f t="shared" si="0"/>
        <v>2032</v>
      </c>
      <c r="S3" s="31">
        <f t="shared" si="0"/>
        <v>2033</v>
      </c>
      <c r="T3" s="31">
        <f t="shared" si="0"/>
        <v>2034</v>
      </c>
      <c r="U3" s="35">
        <f t="shared" si="0"/>
        <v>2035</v>
      </c>
    </row>
    <row r="4" spans="1:22" ht="12.75" customHeight="1" thickBot="1" x14ac:dyDescent="0.35">
      <c r="A4" s="23"/>
      <c r="B4" s="167"/>
      <c r="C4" s="36" t="str">
        <f>IF('0 Úvod'!M10="English",Slovnik!$D$34,Slovnik!$C$34)&amp;" "&amp;'0 Úvod'!D18</f>
        <v>CÚ 2020</v>
      </c>
      <c r="D4" s="2260"/>
      <c r="E4" s="2260"/>
      <c r="F4" s="2258"/>
      <c r="G4" s="1912"/>
      <c r="H4" s="37"/>
      <c r="I4" s="37"/>
      <c r="J4" s="37"/>
      <c r="K4" s="37"/>
      <c r="L4" s="37"/>
      <c r="M4" s="37"/>
      <c r="N4" s="37"/>
      <c r="O4" s="37"/>
      <c r="P4" s="37"/>
      <c r="Q4" s="37"/>
      <c r="R4" s="37"/>
      <c r="S4" s="37"/>
      <c r="T4" s="37"/>
      <c r="U4" s="38"/>
    </row>
    <row r="5" spans="1:22" ht="14.25" x14ac:dyDescent="0.3">
      <c r="A5" s="23"/>
      <c r="B5" s="55"/>
      <c r="C5" s="56" t="str">
        <f>IF('0 Úvod'!$M$10="English",Slovnik!D35,Slovnik!C35)</f>
        <v>Projektová dokumentace</v>
      </c>
      <c r="D5" s="57"/>
      <c r="E5" s="57"/>
      <c r="F5" s="366">
        <f>SUM(G5:U5,G20:U20)</f>
        <v>30803497</v>
      </c>
      <c r="G5" s="29">
        <f>30803497-6678497</f>
        <v>24125000</v>
      </c>
      <c r="H5" s="29"/>
      <c r="I5" s="29">
        <v>6678497</v>
      </c>
      <c r="J5" s="29"/>
      <c r="K5" s="29"/>
      <c r="L5" s="29"/>
      <c r="M5" s="29"/>
      <c r="N5" s="29"/>
      <c r="O5" s="29"/>
      <c r="P5" s="29"/>
      <c r="Q5" s="29"/>
      <c r="R5" s="29"/>
      <c r="S5" s="29"/>
      <c r="T5" s="29"/>
      <c r="U5" s="29"/>
      <c r="V5" s="1909"/>
    </row>
    <row r="6" spans="1:22" ht="14.25" x14ac:dyDescent="0.3">
      <c r="A6" s="23"/>
      <c r="B6" s="58"/>
      <c r="C6" s="59" t="str">
        <f>IF('0 Úvod'!$M$10="English",Slovnik!D36,Slovnik!C36)</f>
        <v>Zábory a nákupy pozemků</v>
      </c>
      <c r="D6" s="60"/>
      <c r="E6" s="60"/>
      <c r="F6" s="367">
        <f t="shared" ref="F6:F15" si="1">SUM(G6:U6,G21:U21)</f>
        <v>1850000</v>
      </c>
      <c r="G6" s="29"/>
      <c r="H6" s="29">
        <v>1850000</v>
      </c>
      <c r="I6" s="29"/>
      <c r="J6" s="29"/>
      <c r="K6" s="29"/>
      <c r="L6" s="29"/>
      <c r="M6" s="29"/>
      <c r="N6" s="29"/>
      <c r="O6" s="29"/>
      <c r="P6" s="29"/>
      <c r="Q6" s="29"/>
      <c r="R6" s="29"/>
      <c r="S6" s="29"/>
      <c r="T6" s="29"/>
      <c r="U6" s="29"/>
      <c r="V6" s="1909"/>
    </row>
    <row r="7" spans="1:22" ht="14.25" x14ac:dyDescent="0.3">
      <c r="A7" s="23"/>
      <c r="B7" s="58"/>
      <c r="C7" s="59" t="str">
        <f>IF('0 Úvod'!$M$10="English",Slovnik!D37,Slovnik!C37)</f>
        <v>Stavby a konstrukce (stavební náklady)</v>
      </c>
      <c r="D7" s="60"/>
      <c r="E7" s="60"/>
      <c r="F7" s="367">
        <f t="shared" si="1"/>
        <v>659610164.95570374</v>
      </c>
      <c r="G7" s="29">
        <v>54717506.616776749</v>
      </c>
      <c r="H7" s="29">
        <v>604892658.33892703</v>
      </c>
      <c r="I7" s="29"/>
      <c r="J7" s="29"/>
      <c r="K7" s="29"/>
      <c r="L7" s="29"/>
      <c r="M7" s="29"/>
      <c r="N7" s="29"/>
      <c r="O7" s="29"/>
      <c r="P7" s="29"/>
      <c r="Q7" s="29"/>
      <c r="R7" s="29"/>
      <c r="S7" s="29"/>
      <c r="T7" s="29"/>
      <c r="U7" s="29"/>
      <c r="V7" s="1909"/>
    </row>
    <row r="8" spans="1:22" ht="14.25" x14ac:dyDescent="0.3">
      <c r="A8" s="23"/>
      <c r="B8" s="58"/>
      <c r="C8" s="59" t="str">
        <f>IF('0 Úvod'!$M$10="English",Slovnik!D38,Slovnik!C38)</f>
        <v>Stroje a zařízení</v>
      </c>
      <c r="D8" s="60"/>
      <c r="E8" s="60"/>
      <c r="F8" s="367">
        <f t="shared" si="1"/>
        <v>0</v>
      </c>
      <c r="G8" s="29"/>
      <c r="H8" s="29"/>
      <c r="I8" s="29"/>
      <c r="J8" s="29"/>
      <c r="K8" s="29"/>
      <c r="L8" s="29"/>
      <c r="M8" s="29"/>
      <c r="N8" s="29"/>
      <c r="O8" s="29"/>
      <c r="P8" s="29"/>
      <c r="Q8" s="29"/>
      <c r="R8" s="29"/>
      <c r="S8" s="29"/>
      <c r="T8" s="29"/>
      <c r="U8" s="29"/>
      <c r="V8" s="1909"/>
    </row>
    <row r="9" spans="1:22" ht="14.25" x14ac:dyDescent="0.3">
      <c r="A9" s="23"/>
      <c r="B9" s="58"/>
      <c r="C9" s="59" t="str">
        <f>IF('0 Úvod'!$M$10="English",Slovnik!D39,Slovnik!C39)</f>
        <v>Technická asistence, propagace</v>
      </c>
      <c r="D9" s="60"/>
      <c r="E9" s="60"/>
      <c r="F9" s="367">
        <f t="shared" si="1"/>
        <v>50978545.000000015</v>
      </c>
      <c r="G9" s="29">
        <f>50578545+400000-36085589.3063291-7401291</f>
        <v>7491664.6936708987</v>
      </c>
      <c r="H9" s="29">
        <v>36085589.306329116</v>
      </c>
      <c r="I9" s="29">
        <v>7401291</v>
      </c>
      <c r="J9" s="29"/>
      <c r="K9" s="29"/>
      <c r="L9" s="29"/>
      <c r="M9" s="29"/>
      <c r="N9" s="29"/>
      <c r="O9" s="29"/>
      <c r="P9" s="29"/>
      <c r="Q9" s="29"/>
      <c r="R9" s="29"/>
      <c r="S9" s="29"/>
      <c r="T9" s="29"/>
      <c r="U9" s="29"/>
      <c r="V9" s="1909"/>
    </row>
    <row r="10" spans="1:22" ht="14.25" x14ac:dyDescent="0.3">
      <c r="A10" s="23"/>
      <c r="B10" s="58"/>
      <c r="C10" s="59" t="str">
        <f>IF('0 Úvod'!$M$10="English",Slovnik!D40,Slovnik!C40)</f>
        <v>Technický dozor</v>
      </c>
      <c r="D10" s="60"/>
      <c r="E10" s="60"/>
      <c r="F10" s="368">
        <f t="shared" si="1"/>
        <v>1920000</v>
      </c>
      <c r="G10" s="29">
        <v>150683.54430379748</v>
      </c>
      <c r="H10" s="29">
        <v>1769316.4556962026</v>
      </c>
      <c r="I10" s="29"/>
      <c r="J10" s="29"/>
      <c r="K10" s="29"/>
      <c r="L10" s="29"/>
      <c r="M10" s="29"/>
      <c r="N10" s="29"/>
      <c r="O10" s="29"/>
      <c r="P10" s="29"/>
      <c r="Q10" s="29"/>
      <c r="R10" s="29"/>
      <c r="S10" s="29"/>
      <c r="T10" s="29"/>
      <c r="U10" s="29"/>
      <c r="V10" s="1909"/>
    </row>
    <row r="11" spans="1:22" ht="14.25" x14ac:dyDescent="0.3">
      <c r="A11" s="23"/>
      <c r="B11" s="49"/>
      <c r="C11" s="43" t="str">
        <f>IF('0 Úvod'!$M$10="English",Slovnik!D41,Slovnik!C41)</f>
        <v>Celkové investiční náklady bez rezervy  (konstantní ceny)</v>
      </c>
      <c r="D11" s="44"/>
      <c r="E11" s="44"/>
      <c r="F11" s="45">
        <f t="shared" si="1"/>
        <v>745162206.95570385</v>
      </c>
      <c r="G11" s="75">
        <f t="shared" ref="G11:U11" si="2">SUM(G5:G10)</f>
        <v>86484854.854751453</v>
      </c>
      <c r="H11" s="46">
        <f t="shared" si="2"/>
        <v>644597564.10095239</v>
      </c>
      <c r="I11" s="46">
        <f t="shared" si="2"/>
        <v>14079788</v>
      </c>
      <c r="J11" s="46">
        <f t="shared" si="2"/>
        <v>0</v>
      </c>
      <c r="K11" s="46">
        <f t="shared" si="2"/>
        <v>0</v>
      </c>
      <c r="L11" s="46">
        <f t="shared" si="2"/>
        <v>0</v>
      </c>
      <c r="M11" s="46">
        <f t="shared" si="2"/>
        <v>0</v>
      </c>
      <c r="N11" s="46">
        <f t="shared" si="2"/>
        <v>0</v>
      </c>
      <c r="O11" s="46">
        <f t="shared" si="2"/>
        <v>0</v>
      </c>
      <c r="P11" s="46">
        <f t="shared" si="2"/>
        <v>0</v>
      </c>
      <c r="Q11" s="46">
        <f t="shared" si="2"/>
        <v>0</v>
      </c>
      <c r="R11" s="46">
        <f t="shared" si="2"/>
        <v>0</v>
      </c>
      <c r="S11" s="46">
        <f t="shared" si="2"/>
        <v>0</v>
      </c>
      <c r="T11" s="46">
        <f t="shared" si="2"/>
        <v>0</v>
      </c>
      <c r="U11" s="46">
        <f t="shared" si="2"/>
        <v>0</v>
      </c>
      <c r="V11" s="1909"/>
    </row>
    <row r="12" spans="1:22" ht="14.25" x14ac:dyDescent="0.3">
      <c r="A12" s="23"/>
      <c r="B12" s="61"/>
      <c r="C12" s="62" t="str">
        <f>IF('0 Úvod'!$M$10="English",Slovnik!D42,Slovnik!C42)</f>
        <v>Rezerva</v>
      </c>
      <c r="D12" s="63"/>
      <c r="E12" s="63"/>
      <c r="F12" s="47">
        <f t="shared" si="1"/>
        <v>64216326.795570366</v>
      </c>
      <c r="G12" s="29">
        <v>5039762.3561080545</v>
      </c>
      <c r="H12" s="29">
        <v>59176564.439462312</v>
      </c>
      <c r="I12" s="29"/>
      <c r="J12" s="29"/>
      <c r="K12" s="29"/>
      <c r="L12" s="29"/>
      <c r="M12" s="29"/>
      <c r="N12" s="29"/>
      <c r="O12" s="29"/>
      <c r="P12" s="29"/>
      <c r="Q12" s="29"/>
      <c r="R12" s="29"/>
      <c r="S12" s="29"/>
      <c r="T12" s="29"/>
      <c r="U12" s="29"/>
      <c r="V12" s="1909"/>
    </row>
    <row r="13" spans="1:22" ht="14.25" x14ac:dyDescent="0.3">
      <c r="A13" s="23"/>
      <c r="B13" s="49"/>
      <c r="C13" s="43" t="str">
        <f>IF('0 Úvod'!$M$10="English",Slovnik!D43,Slovnik!C43)</f>
        <v>Celkové investiční náklady včetně rezervy (konstantní ceny)</v>
      </c>
      <c r="D13" s="44"/>
      <c r="E13" s="44"/>
      <c r="F13" s="45">
        <f t="shared" si="1"/>
        <v>809378533.75127423</v>
      </c>
      <c r="G13" s="75">
        <f>SUM(G11:G12)</f>
        <v>91524617.210859507</v>
      </c>
      <c r="H13" s="46">
        <f>SUM(H11:H12)</f>
        <v>703774128.54041469</v>
      </c>
      <c r="I13" s="46">
        <f t="shared" ref="I13:T13" si="3">SUM(I11:I12)</f>
        <v>14079788</v>
      </c>
      <c r="J13" s="46">
        <f t="shared" si="3"/>
        <v>0</v>
      </c>
      <c r="K13" s="46">
        <f t="shared" si="3"/>
        <v>0</v>
      </c>
      <c r="L13" s="46">
        <f t="shared" si="3"/>
        <v>0</v>
      </c>
      <c r="M13" s="46">
        <f t="shared" si="3"/>
        <v>0</v>
      </c>
      <c r="N13" s="46">
        <f t="shared" si="3"/>
        <v>0</v>
      </c>
      <c r="O13" s="46">
        <f t="shared" si="3"/>
        <v>0</v>
      </c>
      <c r="P13" s="46">
        <f t="shared" si="3"/>
        <v>0</v>
      </c>
      <c r="Q13" s="46">
        <f t="shared" si="3"/>
        <v>0</v>
      </c>
      <c r="R13" s="46">
        <f t="shared" si="3"/>
        <v>0</v>
      </c>
      <c r="S13" s="46">
        <f t="shared" si="3"/>
        <v>0</v>
      </c>
      <c r="T13" s="46">
        <f t="shared" si="3"/>
        <v>0</v>
      </c>
      <c r="U13" s="46">
        <f>SUM(U11:U12)</f>
        <v>0</v>
      </c>
      <c r="V13" s="1909"/>
    </row>
    <row r="14" spans="1:22" ht="15" thickBot="1" x14ac:dyDescent="0.35">
      <c r="A14" s="23"/>
      <c r="B14" s="64"/>
      <c r="C14" s="65" t="str">
        <f>IF('0 Úvod'!M10="English",Slovnik!$D$44,Slovnik!$C$44)&amp;" "&amp;'0 Úvod'!N20*100&amp;" %"</f>
        <v>DPH 21 %</v>
      </c>
      <c r="D14" s="66"/>
      <c r="E14" s="66"/>
      <c r="F14" s="48">
        <f t="shared" si="1"/>
        <v>160277522.94776756</v>
      </c>
      <c r="G14" s="238">
        <v>17804096.177774161</v>
      </c>
      <c r="H14" s="238">
        <v>140995042.7299934</v>
      </c>
      <c r="I14" s="238">
        <v>1478384.04</v>
      </c>
      <c r="J14" s="238">
        <f>(J13-J6)*'0 Úvod'!$N$20</f>
        <v>0</v>
      </c>
      <c r="K14" s="238">
        <f>(K13-K6)*'0 Úvod'!$N$20</f>
        <v>0</v>
      </c>
      <c r="L14" s="238">
        <f>(L13-L6)*'0 Úvod'!$N$20</f>
        <v>0</v>
      </c>
      <c r="M14" s="238">
        <f>(M13-M6)*'0 Úvod'!$N$20</f>
        <v>0</v>
      </c>
      <c r="N14" s="238">
        <f>(N13-N6)*'0 Úvod'!$N$20</f>
        <v>0</v>
      </c>
      <c r="O14" s="238">
        <f>(O13-O6)*'0 Úvod'!$N$20</f>
        <v>0</v>
      </c>
      <c r="P14" s="238">
        <f>(P13-P6)*'0 Úvod'!$N$20</f>
        <v>0</v>
      </c>
      <c r="Q14" s="238">
        <f>(Q13-Q6)*'0 Úvod'!$N$20</f>
        <v>0</v>
      </c>
      <c r="R14" s="238">
        <f>(R13-R6)*'0 Úvod'!$N$20</f>
        <v>0</v>
      </c>
      <c r="S14" s="238">
        <f>(S13-S6)*'0 Úvod'!$N$20</f>
        <v>0</v>
      </c>
      <c r="T14" s="238">
        <f>(T13-T6)*'0 Úvod'!$N$20</f>
        <v>0</v>
      </c>
      <c r="U14" s="238">
        <f>(U13-U6)*'0 Úvod'!$N$20</f>
        <v>0</v>
      </c>
      <c r="V14" s="1909"/>
    </row>
    <row r="15" spans="1:22" ht="15" thickBot="1" x14ac:dyDescent="0.35">
      <c r="A15" s="23"/>
      <c r="B15" s="51"/>
      <c r="C15" s="52" t="str">
        <f>IF('0 Úvod'!$M$10="English",Slovnik!D45,Slovnik!C45)</f>
        <v>Celkové investiční náklady včetně DPH (konstantní ceny)</v>
      </c>
      <c r="D15" s="53"/>
      <c r="E15" s="53"/>
      <c r="F15" s="54">
        <f t="shared" si="1"/>
        <v>969656056.69904184</v>
      </c>
      <c r="G15" s="1913">
        <f>G14+G13</f>
        <v>109328713.38863367</v>
      </c>
      <c r="H15" s="1914">
        <f>H14+H13</f>
        <v>844769171.27040815</v>
      </c>
      <c r="I15" s="1914">
        <f t="shared" ref="I15:T15" si="4">I14+I13</f>
        <v>15558172.039999999</v>
      </c>
      <c r="J15" s="1914">
        <f t="shared" si="4"/>
        <v>0</v>
      </c>
      <c r="K15" s="1914">
        <f t="shared" si="4"/>
        <v>0</v>
      </c>
      <c r="L15" s="1914">
        <f t="shared" si="4"/>
        <v>0</v>
      </c>
      <c r="M15" s="1914">
        <f t="shared" si="4"/>
        <v>0</v>
      </c>
      <c r="N15" s="1914">
        <f t="shared" si="4"/>
        <v>0</v>
      </c>
      <c r="O15" s="1914">
        <f t="shared" si="4"/>
        <v>0</v>
      </c>
      <c r="P15" s="1914">
        <f t="shared" si="4"/>
        <v>0</v>
      </c>
      <c r="Q15" s="1914">
        <f t="shared" si="4"/>
        <v>0</v>
      </c>
      <c r="R15" s="1914">
        <f t="shared" si="4"/>
        <v>0</v>
      </c>
      <c r="S15" s="1914">
        <f t="shared" si="4"/>
        <v>0</v>
      </c>
      <c r="T15" s="1914">
        <f t="shared" si="4"/>
        <v>0</v>
      </c>
      <c r="U15" s="1914">
        <f>U14+U13</f>
        <v>0</v>
      </c>
      <c r="V15" s="1909"/>
    </row>
    <row r="16" spans="1:22" ht="14.25" thickBot="1" x14ac:dyDescent="0.35">
      <c r="A16" s="23"/>
      <c r="B16" s="24"/>
      <c r="C16" s="24"/>
      <c r="D16" s="24"/>
      <c r="E16" s="25"/>
      <c r="F16" s="26"/>
      <c r="G16" s="27"/>
      <c r="H16" s="27"/>
      <c r="I16" s="27"/>
      <c r="J16" s="27"/>
      <c r="K16" s="27"/>
      <c r="L16" s="27"/>
      <c r="M16" s="27"/>
      <c r="N16" s="27"/>
      <c r="O16" s="27"/>
      <c r="P16" s="27"/>
      <c r="Q16" s="27"/>
      <c r="R16" s="27"/>
      <c r="S16" s="27"/>
      <c r="T16" s="27"/>
      <c r="U16" s="27"/>
    </row>
    <row r="17" spans="1:22" ht="14.25" x14ac:dyDescent="0.3">
      <c r="A17" s="23"/>
      <c r="B17" s="39" t="s">
        <v>15</v>
      </c>
      <c r="C17" s="41" t="str">
        <f>IF('0 Úvod'!$M$10="English",Slovnik!$D$32,Slovnik!$C$32)</f>
        <v>Celkové investiční náklady (CZK) *</v>
      </c>
      <c r="D17" s="41"/>
      <c r="E17" s="41"/>
      <c r="F17" s="42"/>
      <c r="G17" s="32"/>
      <c r="H17" s="33"/>
      <c r="I17" s="33"/>
      <c r="J17" s="33"/>
      <c r="K17" s="33"/>
      <c r="L17" s="33"/>
      <c r="M17" s="33"/>
      <c r="N17" s="33"/>
      <c r="O17" s="33"/>
      <c r="P17" s="33"/>
      <c r="Q17" s="33"/>
      <c r="R17" s="33"/>
      <c r="S17" s="33"/>
      <c r="T17" s="33"/>
      <c r="U17" s="34"/>
    </row>
    <row r="18" spans="1:22" ht="14.25" x14ac:dyDescent="0.3">
      <c r="A18" s="23"/>
      <c r="B18" s="166" t="s">
        <v>24</v>
      </c>
      <c r="C18" s="30" t="str">
        <f>IF('0 Úvod'!M10="English",Slovnik!$D$33,Slovnik!$C$33)</f>
        <v>(konstantní ceny)</v>
      </c>
      <c r="D18" s="2259"/>
      <c r="E18" s="2259"/>
      <c r="F18" s="2263"/>
      <c r="G18" s="1911">
        <f>U3+1</f>
        <v>2036</v>
      </c>
      <c r="H18" s="31">
        <f>G18+1</f>
        <v>2037</v>
      </c>
      <c r="I18" s="31">
        <f t="shared" ref="I18:U18" si="5">H18+1</f>
        <v>2038</v>
      </c>
      <c r="J18" s="31">
        <f t="shared" si="5"/>
        <v>2039</v>
      </c>
      <c r="K18" s="31">
        <f t="shared" si="5"/>
        <v>2040</v>
      </c>
      <c r="L18" s="31">
        <f t="shared" si="5"/>
        <v>2041</v>
      </c>
      <c r="M18" s="31">
        <f t="shared" si="5"/>
        <v>2042</v>
      </c>
      <c r="N18" s="31">
        <f t="shared" si="5"/>
        <v>2043</v>
      </c>
      <c r="O18" s="31">
        <f t="shared" si="5"/>
        <v>2044</v>
      </c>
      <c r="P18" s="31">
        <f t="shared" si="5"/>
        <v>2045</v>
      </c>
      <c r="Q18" s="31">
        <f t="shared" si="5"/>
        <v>2046</v>
      </c>
      <c r="R18" s="31">
        <f t="shared" si="5"/>
        <v>2047</v>
      </c>
      <c r="S18" s="31">
        <f t="shared" si="5"/>
        <v>2048</v>
      </c>
      <c r="T18" s="31">
        <f t="shared" si="5"/>
        <v>2049</v>
      </c>
      <c r="U18" s="35">
        <f t="shared" si="5"/>
        <v>2050</v>
      </c>
    </row>
    <row r="19" spans="1:22" ht="15" thickBot="1" x14ac:dyDescent="0.35">
      <c r="A19" s="23"/>
      <c r="B19" s="167"/>
      <c r="C19" s="36" t="str">
        <f>IF('0 Úvod'!M10="English",Slovnik!$D$34,Slovnik!$C$34)&amp;" "&amp;'0 Úvod'!D18</f>
        <v>CÚ 2020</v>
      </c>
      <c r="D19" s="2260"/>
      <c r="E19" s="2260"/>
      <c r="F19" s="2264"/>
      <c r="G19" s="1912"/>
      <c r="H19" s="37"/>
      <c r="I19" s="37"/>
      <c r="J19" s="37"/>
      <c r="K19" s="37"/>
      <c r="L19" s="37"/>
      <c r="M19" s="37"/>
      <c r="N19" s="37"/>
      <c r="O19" s="37"/>
      <c r="P19" s="37"/>
      <c r="Q19" s="37"/>
      <c r="R19" s="37"/>
      <c r="S19" s="37"/>
      <c r="T19" s="37"/>
      <c r="U19" s="38"/>
    </row>
    <row r="20" spans="1:22" ht="14.25" x14ac:dyDescent="0.3">
      <c r="A20" s="23"/>
      <c r="B20" s="55"/>
      <c r="C20" s="56" t="str">
        <f>IF('0 Úvod'!$M$10="English",Slovnik!D35,Slovnik!C35)</f>
        <v>Projektová dokumentace</v>
      </c>
      <c r="D20" s="57"/>
      <c r="E20" s="57"/>
      <c r="F20" s="70"/>
      <c r="G20" s="29"/>
      <c r="H20" s="29"/>
      <c r="I20" s="29"/>
      <c r="J20" s="29"/>
      <c r="K20" s="29"/>
      <c r="L20" s="29"/>
      <c r="M20" s="29"/>
      <c r="N20" s="29"/>
      <c r="O20" s="29"/>
      <c r="P20" s="29"/>
      <c r="Q20" s="29"/>
      <c r="R20" s="29"/>
      <c r="S20" s="29"/>
      <c r="T20" s="29"/>
      <c r="U20" s="29"/>
      <c r="V20" s="1909"/>
    </row>
    <row r="21" spans="1:22" ht="14.25" x14ac:dyDescent="0.3">
      <c r="A21" s="23"/>
      <c r="B21" s="58"/>
      <c r="C21" s="59" t="str">
        <f>IF('0 Úvod'!$M$10="English",Slovnik!D36,Slovnik!C36)</f>
        <v>Zábory a nákupy pozemků</v>
      </c>
      <c r="D21" s="60"/>
      <c r="E21" s="60"/>
      <c r="F21" s="69"/>
      <c r="G21" s="29"/>
      <c r="H21" s="29"/>
      <c r="I21" s="29"/>
      <c r="J21" s="29"/>
      <c r="K21" s="29"/>
      <c r="L21" s="29"/>
      <c r="M21" s="29"/>
      <c r="N21" s="29"/>
      <c r="O21" s="29"/>
      <c r="P21" s="29"/>
      <c r="Q21" s="29"/>
      <c r="R21" s="29"/>
      <c r="S21" s="29"/>
      <c r="T21" s="29"/>
      <c r="U21" s="29"/>
      <c r="V21" s="1909"/>
    </row>
    <row r="22" spans="1:22" ht="14.25" x14ac:dyDescent="0.3">
      <c r="A22" s="23"/>
      <c r="B22" s="58"/>
      <c r="C22" s="59" t="str">
        <f>IF('0 Úvod'!$M$10="English",Slovnik!D37,Slovnik!C37)</f>
        <v>Stavby a konstrukce (stavební náklady)</v>
      </c>
      <c r="D22" s="60"/>
      <c r="E22" s="60"/>
      <c r="F22" s="69"/>
      <c r="G22" s="29"/>
      <c r="H22" s="29"/>
      <c r="I22" s="29"/>
      <c r="J22" s="29"/>
      <c r="K22" s="29"/>
      <c r="L22" s="29"/>
      <c r="M22" s="29"/>
      <c r="N22" s="29"/>
      <c r="O22" s="29"/>
      <c r="P22" s="29"/>
      <c r="Q22" s="29"/>
      <c r="R22" s="29"/>
      <c r="S22" s="29"/>
      <c r="T22" s="29"/>
      <c r="U22" s="29"/>
      <c r="V22" s="1909"/>
    </row>
    <row r="23" spans="1:22" ht="14.25" x14ac:dyDescent="0.3">
      <c r="A23" s="23"/>
      <c r="B23" s="58"/>
      <c r="C23" s="59" t="str">
        <f>IF('0 Úvod'!$M$10="English",Slovnik!D38,Slovnik!C38)</f>
        <v>Stroje a zařízení</v>
      </c>
      <c r="D23" s="60"/>
      <c r="E23" s="60"/>
      <c r="F23" s="69"/>
      <c r="G23" s="29"/>
      <c r="H23" s="29"/>
      <c r="I23" s="29"/>
      <c r="J23" s="29"/>
      <c r="K23" s="29"/>
      <c r="L23" s="29"/>
      <c r="M23" s="29"/>
      <c r="N23" s="29"/>
      <c r="O23" s="29"/>
      <c r="P23" s="29"/>
      <c r="Q23" s="29"/>
      <c r="R23" s="29"/>
      <c r="S23" s="29"/>
      <c r="T23" s="29"/>
      <c r="U23" s="29"/>
      <c r="V23" s="1909"/>
    </row>
    <row r="24" spans="1:22" ht="14.25" x14ac:dyDescent="0.3">
      <c r="A24" s="23"/>
      <c r="B24" s="58"/>
      <c r="C24" s="59" t="str">
        <f>IF('0 Úvod'!$M$10="English",Slovnik!D39,Slovnik!C39)</f>
        <v>Technická asistence, propagace</v>
      </c>
      <c r="D24" s="60"/>
      <c r="E24" s="60"/>
      <c r="F24" s="69"/>
      <c r="G24" s="29"/>
      <c r="H24" s="29"/>
      <c r="I24" s="29"/>
      <c r="J24" s="29"/>
      <c r="K24" s="29"/>
      <c r="L24" s="29"/>
      <c r="M24" s="29"/>
      <c r="N24" s="29"/>
      <c r="O24" s="29"/>
      <c r="P24" s="29"/>
      <c r="Q24" s="29"/>
      <c r="R24" s="29"/>
      <c r="S24" s="29"/>
      <c r="T24" s="29"/>
      <c r="U24" s="29"/>
      <c r="V24" s="1909"/>
    </row>
    <row r="25" spans="1:22" ht="14.25" x14ac:dyDescent="0.3">
      <c r="A25" s="23"/>
      <c r="B25" s="58"/>
      <c r="C25" s="59" t="str">
        <f>IF('0 Úvod'!$M$10="English",Slovnik!D40,Slovnik!C40)</f>
        <v>Technický dozor</v>
      </c>
      <c r="D25" s="60"/>
      <c r="E25" s="60"/>
      <c r="F25" s="71"/>
      <c r="G25" s="29"/>
      <c r="H25" s="29"/>
      <c r="I25" s="29"/>
      <c r="J25" s="29"/>
      <c r="K25" s="29"/>
      <c r="L25" s="29"/>
      <c r="M25" s="29"/>
      <c r="N25" s="29"/>
      <c r="O25" s="29"/>
      <c r="P25" s="29"/>
      <c r="Q25" s="29"/>
      <c r="R25" s="29"/>
      <c r="S25" s="29"/>
      <c r="T25" s="29"/>
      <c r="U25" s="29"/>
      <c r="V25" s="1909"/>
    </row>
    <row r="26" spans="1:22" ht="14.25" x14ac:dyDescent="0.3">
      <c r="A26" s="23"/>
      <c r="B26" s="49"/>
      <c r="C26" s="43" t="str">
        <f>IF('0 Úvod'!$M$10="English",Slovnik!D41,Slovnik!C41)</f>
        <v>Celkové investiční náklady bez rezervy  (konstantní ceny)</v>
      </c>
      <c r="D26" s="44"/>
      <c r="E26" s="44"/>
      <c r="F26" s="67"/>
      <c r="G26" s="75">
        <f t="shared" ref="G26:U26" si="6">SUM(G20:G25)</f>
        <v>0</v>
      </c>
      <c r="H26" s="46">
        <f t="shared" si="6"/>
        <v>0</v>
      </c>
      <c r="I26" s="46">
        <f t="shared" si="6"/>
        <v>0</v>
      </c>
      <c r="J26" s="46">
        <f t="shared" si="6"/>
        <v>0</v>
      </c>
      <c r="K26" s="46">
        <f t="shared" si="6"/>
        <v>0</v>
      </c>
      <c r="L26" s="46">
        <f t="shared" si="6"/>
        <v>0</v>
      </c>
      <c r="M26" s="46">
        <f t="shared" si="6"/>
        <v>0</v>
      </c>
      <c r="N26" s="46">
        <f t="shared" si="6"/>
        <v>0</v>
      </c>
      <c r="O26" s="46">
        <f t="shared" si="6"/>
        <v>0</v>
      </c>
      <c r="P26" s="46">
        <f t="shared" si="6"/>
        <v>0</v>
      </c>
      <c r="Q26" s="46">
        <f t="shared" si="6"/>
        <v>0</v>
      </c>
      <c r="R26" s="46">
        <f t="shared" si="6"/>
        <v>0</v>
      </c>
      <c r="S26" s="46">
        <f t="shared" si="6"/>
        <v>0</v>
      </c>
      <c r="T26" s="46">
        <f t="shared" si="6"/>
        <v>0</v>
      </c>
      <c r="U26" s="50">
        <f t="shared" si="6"/>
        <v>0</v>
      </c>
      <c r="V26" s="1909"/>
    </row>
    <row r="27" spans="1:22" ht="14.25" x14ac:dyDescent="0.3">
      <c r="A27" s="23"/>
      <c r="B27" s="61"/>
      <c r="C27" s="62" t="str">
        <f>IF('0 Úvod'!$M$10="English",Slovnik!D42,Slovnik!C42)</f>
        <v>Rezerva</v>
      </c>
      <c r="D27" s="63"/>
      <c r="E27" s="63"/>
      <c r="F27" s="72"/>
      <c r="G27" s="29"/>
      <c r="H27" s="29"/>
      <c r="I27" s="29"/>
      <c r="J27" s="29"/>
      <c r="K27" s="29"/>
      <c r="L27" s="29"/>
      <c r="M27" s="29"/>
      <c r="N27" s="29"/>
      <c r="O27" s="29"/>
      <c r="P27" s="29"/>
      <c r="Q27" s="29"/>
      <c r="R27" s="29"/>
      <c r="S27" s="29"/>
      <c r="T27" s="29"/>
      <c r="U27" s="29"/>
      <c r="V27" s="1909"/>
    </row>
    <row r="28" spans="1:22" ht="14.25" x14ac:dyDescent="0.3">
      <c r="A28" s="23"/>
      <c r="B28" s="49"/>
      <c r="C28" s="43" t="str">
        <f>IF('0 Úvod'!$M$10="English",Slovnik!D43,Slovnik!C43)</f>
        <v>Celkové investiční náklady včetně rezervy (konstantní ceny)</v>
      </c>
      <c r="D28" s="44"/>
      <c r="E28" s="44"/>
      <c r="F28" s="67"/>
      <c r="G28" s="75">
        <f t="shared" ref="G28:U28" si="7">SUM(G26:G27)</f>
        <v>0</v>
      </c>
      <c r="H28" s="46">
        <f t="shared" si="7"/>
        <v>0</v>
      </c>
      <c r="I28" s="46">
        <f t="shared" si="7"/>
        <v>0</v>
      </c>
      <c r="J28" s="46">
        <f t="shared" si="7"/>
        <v>0</v>
      </c>
      <c r="K28" s="46">
        <f t="shared" si="7"/>
        <v>0</v>
      </c>
      <c r="L28" s="46">
        <f t="shared" si="7"/>
        <v>0</v>
      </c>
      <c r="M28" s="46">
        <f t="shared" si="7"/>
        <v>0</v>
      </c>
      <c r="N28" s="46">
        <f t="shared" si="7"/>
        <v>0</v>
      </c>
      <c r="O28" s="46">
        <f t="shared" si="7"/>
        <v>0</v>
      </c>
      <c r="P28" s="46">
        <f t="shared" si="7"/>
        <v>0</v>
      </c>
      <c r="Q28" s="46">
        <f t="shared" si="7"/>
        <v>0</v>
      </c>
      <c r="R28" s="46">
        <f t="shared" si="7"/>
        <v>0</v>
      </c>
      <c r="S28" s="46">
        <f t="shared" si="7"/>
        <v>0</v>
      </c>
      <c r="T28" s="46">
        <f t="shared" si="7"/>
        <v>0</v>
      </c>
      <c r="U28" s="50">
        <f t="shared" si="7"/>
        <v>0</v>
      </c>
      <c r="V28" s="1909"/>
    </row>
    <row r="29" spans="1:22" ht="15" thickBot="1" x14ac:dyDescent="0.35">
      <c r="A29" s="23"/>
      <c r="B29" s="64"/>
      <c r="C29" s="65" t="str">
        <f>IF('0 Úvod'!M10="English",Slovnik!$D$44,Slovnik!$C$44)&amp;" "&amp;'0 Úvod'!N20*100&amp;" %"</f>
        <v>DPH 21 %</v>
      </c>
      <c r="D29" s="66"/>
      <c r="E29" s="66"/>
      <c r="F29" s="73"/>
      <c r="G29" s="238">
        <f>(G28-G21)*'0 Úvod'!$N$20</f>
        <v>0</v>
      </c>
      <c r="H29" s="238">
        <f>(H28-H21)*'0 Úvod'!$N$20</f>
        <v>0</v>
      </c>
      <c r="I29" s="238">
        <f>(I28-I21)*'0 Úvod'!$N$20</f>
        <v>0</v>
      </c>
      <c r="J29" s="238">
        <f>(J28-J21)*'0 Úvod'!$N$20</f>
        <v>0</v>
      </c>
      <c r="K29" s="238">
        <f>(K28-K21)*'0 Úvod'!$N$20</f>
        <v>0</v>
      </c>
      <c r="L29" s="238">
        <f>(L28-L21)*'0 Úvod'!$N$20</f>
        <v>0</v>
      </c>
      <c r="M29" s="238">
        <f>(M28-M21)*'0 Úvod'!$N$20</f>
        <v>0</v>
      </c>
      <c r="N29" s="238">
        <f>(N28-N21)*'0 Úvod'!$N$20</f>
        <v>0</v>
      </c>
      <c r="O29" s="238">
        <f>(O28-O21)*'0 Úvod'!$N$20</f>
        <v>0</v>
      </c>
      <c r="P29" s="238">
        <f>(P28-P21)*'0 Úvod'!$N$20</f>
        <v>0</v>
      </c>
      <c r="Q29" s="238">
        <f>(Q28-Q21)*'0 Úvod'!$N$20</f>
        <v>0</v>
      </c>
      <c r="R29" s="238">
        <f>(R28-R21)*'0 Úvod'!$N$20</f>
        <v>0</v>
      </c>
      <c r="S29" s="238">
        <f>(S28-S21)*'0 Úvod'!$N$20</f>
        <v>0</v>
      </c>
      <c r="T29" s="238">
        <f>(T28-T21)*'0 Úvod'!$N$20</f>
        <v>0</v>
      </c>
      <c r="U29" s="238">
        <f>(U28-U21)*'0 Úvod'!$N$20</f>
        <v>0</v>
      </c>
      <c r="V29" s="1909"/>
    </row>
    <row r="30" spans="1:22" ht="15" thickBot="1" x14ac:dyDescent="0.35">
      <c r="A30" s="23"/>
      <c r="B30" s="51"/>
      <c r="C30" s="52" t="str">
        <f>IF('0 Úvod'!$M$10="English",Slovnik!D45,Slovnik!C45)</f>
        <v>Celkové investiční náklady včetně DPH (konstantní ceny)</v>
      </c>
      <c r="D30" s="53"/>
      <c r="E30" s="53"/>
      <c r="F30" s="68"/>
      <c r="G30" s="1913">
        <f t="shared" ref="G30:U30" si="8">G29+G28</f>
        <v>0</v>
      </c>
      <c r="H30" s="1914">
        <f t="shared" si="8"/>
        <v>0</v>
      </c>
      <c r="I30" s="1914">
        <f t="shared" si="8"/>
        <v>0</v>
      </c>
      <c r="J30" s="1914">
        <f t="shared" si="8"/>
        <v>0</v>
      </c>
      <c r="K30" s="1914">
        <f t="shared" si="8"/>
        <v>0</v>
      </c>
      <c r="L30" s="1914">
        <f t="shared" si="8"/>
        <v>0</v>
      </c>
      <c r="M30" s="1914">
        <f t="shared" si="8"/>
        <v>0</v>
      </c>
      <c r="N30" s="1914">
        <f t="shared" si="8"/>
        <v>0</v>
      </c>
      <c r="O30" s="1914">
        <f t="shared" si="8"/>
        <v>0</v>
      </c>
      <c r="P30" s="1914">
        <f t="shared" si="8"/>
        <v>0</v>
      </c>
      <c r="Q30" s="1914">
        <f t="shared" si="8"/>
        <v>0</v>
      </c>
      <c r="R30" s="1914">
        <f t="shared" si="8"/>
        <v>0</v>
      </c>
      <c r="S30" s="1914">
        <f t="shared" si="8"/>
        <v>0</v>
      </c>
      <c r="T30" s="1914">
        <f t="shared" si="8"/>
        <v>0</v>
      </c>
      <c r="U30" s="1915">
        <f t="shared" si="8"/>
        <v>0</v>
      </c>
      <c r="V30" s="1909"/>
    </row>
    <row r="31" spans="1:22" ht="13.5" x14ac:dyDescent="0.3">
      <c r="A31" s="23"/>
      <c r="B31" s="24"/>
      <c r="C31" s="24"/>
      <c r="D31" s="24"/>
      <c r="E31" s="25"/>
      <c r="F31" s="26"/>
      <c r="G31" s="27"/>
      <c r="H31" s="27"/>
      <c r="I31" s="27"/>
      <c r="J31" s="27"/>
      <c r="K31" s="27"/>
      <c r="L31" s="27"/>
      <c r="M31" s="27"/>
      <c r="N31" s="27"/>
      <c r="O31" s="27"/>
      <c r="P31" s="27"/>
      <c r="Q31" s="27"/>
      <c r="R31" s="27"/>
      <c r="S31" s="27"/>
      <c r="T31" s="27"/>
      <c r="U31" s="27"/>
    </row>
    <row r="32" spans="1:22" ht="14.25" thickBot="1" x14ac:dyDescent="0.35">
      <c r="A32" s="23"/>
      <c r="B32" s="24"/>
      <c r="C32" s="24"/>
      <c r="D32" s="24"/>
      <c r="E32" s="25"/>
      <c r="F32" s="26"/>
      <c r="G32" s="27"/>
      <c r="H32" s="27"/>
      <c r="I32" s="27"/>
      <c r="J32" s="27"/>
      <c r="K32" s="27"/>
      <c r="L32" s="27"/>
      <c r="M32" s="27"/>
      <c r="N32" s="27"/>
      <c r="O32" s="27"/>
      <c r="P32" s="27"/>
      <c r="Q32" s="27"/>
      <c r="R32" s="27"/>
      <c r="S32" s="27"/>
      <c r="T32" s="27"/>
      <c r="U32" s="27"/>
    </row>
    <row r="33" spans="1:22" ht="14.25" x14ac:dyDescent="0.3">
      <c r="A33" s="23"/>
      <c r="B33" s="1051" t="s">
        <v>16</v>
      </c>
      <c r="C33" s="1052" t="str">
        <f>IF('0 Úvod'!$M$10="English",Slovnik!$D$48,Slovnik!$C$48)</f>
        <v>Celkové investiční náklady (CZK)</v>
      </c>
      <c r="D33" s="1052"/>
      <c r="E33" s="1052"/>
      <c r="F33" s="1053"/>
      <c r="G33" s="1054"/>
      <c r="H33" s="1055"/>
      <c r="I33" s="1055"/>
      <c r="J33" s="1055"/>
      <c r="K33" s="1055"/>
      <c r="L33" s="1055"/>
      <c r="M33" s="1055"/>
      <c r="N33" s="1055"/>
      <c r="O33" s="1055"/>
      <c r="P33" s="1055"/>
      <c r="Q33" s="1055"/>
      <c r="R33" s="1055"/>
      <c r="S33" s="1055"/>
      <c r="T33" s="1055"/>
      <c r="U33" s="1056"/>
    </row>
    <row r="34" spans="1:22" ht="13.5" customHeight="1" x14ac:dyDescent="0.3">
      <c r="A34" s="23"/>
      <c r="B34" s="1057" t="s">
        <v>23</v>
      </c>
      <c r="C34" s="1058" t="str">
        <f>IF('0 Úvod'!$M$10="English",Slovnik!$D$49,Slovnik!$C$49)</f>
        <v>(běžné ceny)</v>
      </c>
      <c r="D34" s="2265" t="str">
        <f>IF('0 Úvod'!$M$10="English",Slovnik!$D$62,Slovnik!$C$62)</f>
        <v>Nezpůsobilé náklady</v>
      </c>
      <c r="E34" s="2265" t="str">
        <f>IF('0 Úvod'!$M$10="English",Slovnik!$D$647,Slovnik!$C$647)</f>
        <v>Způsobilé náklady</v>
      </c>
      <c r="F34" s="2267" t="str">
        <f>IF('0 Úvod'!$M$10="English",Slovnik!$D$63,Slovnik!$C$63)</f>
        <v>Celkové projektové náklady</v>
      </c>
      <c r="G34" s="1059">
        <f>G3</f>
        <v>2021</v>
      </c>
      <c r="H34" s="1060">
        <f>G34+1</f>
        <v>2022</v>
      </c>
      <c r="I34" s="1060">
        <f t="shared" ref="I34:U34" si="9">H34+1</f>
        <v>2023</v>
      </c>
      <c r="J34" s="1060">
        <f t="shared" si="9"/>
        <v>2024</v>
      </c>
      <c r="K34" s="1060">
        <f t="shared" si="9"/>
        <v>2025</v>
      </c>
      <c r="L34" s="1060">
        <f t="shared" si="9"/>
        <v>2026</v>
      </c>
      <c r="M34" s="1060">
        <f t="shared" si="9"/>
        <v>2027</v>
      </c>
      <c r="N34" s="1060">
        <f t="shared" si="9"/>
        <v>2028</v>
      </c>
      <c r="O34" s="1060">
        <f t="shared" si="9"/>
        <v>2029</v>
      </c>
      <c r="P34" s="1060">
        <f t="shared" si="9"/>
        <v>2030</v>
      </c>
      <c r="Q34" s="1060">
        <f t="shared" si="9"/>
        <v>2031</v>
      </c>
      <c r="R34" s="1060">
        <f t="shared" si="9"/>
        <v>2032</v>
      </c>
      <c r="S34" s="1060">
        <f t="shared" si="9"/>
        <v>2033</v>
      </c>
      <c r="T34" s="1060">
        <f t="shared" si="9"/>
        <v>2034</v>
      </c>
      <c r="U34" s="1061">
        <f t="shared" si="9"/>
        <v>2035</v>
      </c>
    </row>
    <row r="35" spans="1:22" ht="15" thickBot="1" x14ac:dyDescent="0.35">
      <c r="A35" s="23"/>
      <c r="B35" s="1062"/>
      <c r="C35" s="1063" t="str">
        <f>IF('0 Úvod'!$M$10="English",Slovnik!D50,Slovnik!C50)</f>
        <v>Způsobilost nákladů **</v>
      </c>
      <c r="D35" s="2266"/>
      <c r="E35" s="2266"/>
      <c r="F35" s="2268"/>
      <c r="G35" s="1064"/>
      <c r="H35" s="1065"/>
      <c r="I35" s="1065"/>
      <c r="J35" s="1065"/>
      <c r="K35" s="1065"/>
      <c r="L35" s="1065"/>
      <c r="M35" s="1065"/>
      <c r="N35" s="1065"/>
      <c r="O35" s="1065"/>
      <c r="P35" s="1065"/>
      <c r="Q35" s="1065"/>
      <c r="R35" s="1065"/>
      <c r="S35" s="1065"/>
      <c r="T35" s="1065"/>
      <c r="U35" s="1066"/>
    </row>
    <row r="36" spans="1:22" ht="14.25" x14ac:dyDescent="0.3">
      <c r="A36" s="23"/>
      <c r="B36" s="58"/>
      <c r="C36" s="74" t="str">
        <f>IF('0 Úvod'!$M$10="English",Slovnik!D51,Slovnik!C51)</f>
        <v>Poplatky za plány/stavební projekt</v>
      </c>
      <c r="D36" s="369">
        <f t="shared" ref="D36:D44" si="10">F36-E36</f>
        <v>0</v>
      </c>
      <c r="E36" s="1916"/>
      <c r="F36" s="366">
        <f>SUM(G36:U36,G52:U52)</f>
        <v>0</v>
      </c>
      <c r="G36" s="29"/>
      <c r="H36" s="29"/>
      <c r="I36" s="29"/>
      <c r="J36" s="29"/>
      <c r="K36" s="29"/>
      <c r="L36" s="29"/>
      <c r="M36" s="29"/>
      <c r="N36" s="29"/>
      <c r="O36" s="29"/>
      <c r="P36" s="29"/>
      <c r="Q36" s="29"/>
      <c r="R36" s="29"/>
      <c r="S36" s="29"/>
      <c r="T36" s="29"/>
      <c r="U36" s="29"/>
      <c r="V36" s="1909"/>
    </row>
    <row r="37" spans="1:22" ht="14.25" x14ac:dyDescent="0.3">
      <c r="A37" s="23"/>
      <c r="B37" s="58"/>
      <c r="C37" s="74" t="str">
        <f>IF('0 Úvod'!$M$10="English",Slovnik!D52,Slovnik!C52)</f>
        <v>Nákup pozemků</v>
      </c>
      <c r="D37" s="370">
        <f t="shared" si="10"/>
        <v>0</v>
      </c>
      <c r="E37" s="1916"/>
      <c r="F37" s="367">
        <f t="shared" ref="F37:F47" si="11">SUM(G37:U37,G53:U53)</f>
        <v>0</v>
      </c>
      <c r="G37" s="29"/>
      <c r="H37" s="29"/>
      <c r="I37" s="29"/>
      <c r="J37" s="29"/>
      <c r="K37" s="29"/>
      <c r="L37" s="29"/>
      <c r="M37" s="29"/>
      <c r="N37" s="29"/>
      <c r="O37" s="29"/>
      <c r="P37" s="29"/>
      <c r="Q37" s="29"/>
      <c r="R37" s="29"/>
      <c r="S37" s="29"/>
      <c r="T37" s="29"/>
      <c r="U37" s="29"/>
      <c r="V37" s="1909"/>
    </row>
    <row r="38" spans="1:22" ht="14.25" x14ac:dyDescent="0.3">
      <c r="A38" s="23"/>
      <c r="B38" s="58"/>
      <c r="C38" s="74" t="str">
        <f>IF('0 Úvod'!$M$10="English",Slovnik!D53,Slovnik!C53)</f>
        <v>Výstavba</v>
      </c>
      <c r="D38" s="370">
        <f t="shared" si="10"/>
        <v>0</v>
      </c>
      <c r="E38" s="1916"/>
      <c r="F38" s="367">
        <f t="shared" si="11"/>
        <v>0</v>
      </c>
      <c r="G38" s="29"/>
      <c r="H38" s="29"/>
      <c r="I38" s="29"/>
      <c r="J38" s="29"/>
      <c r="K38" s="29"/>
      <c r="L38" s="29"/>
      <c r="M38" s="29"/>
      <c r="N38" s="29"/>
      <c r="O38" s="29"/>
      <c r="P38" s="29"/>
      <c r="Q38" s="29"/>
      <c r="R38" s="29"/>
      <c r="S38" s="29"/>
      <c r="T38" s="29"/>
      <c r="U38" s="29"/>
      <c r="V38" s="1909"/>
    </row>
    <row r="39" spans="1:22" ht="14.25" x14ac:dyDescent="0.3">
      <c r="A39" s="23"/>
      <c r="B39" s="58"/>
      <c r="C39" s="74" t="str">
        <f>IF('0 Úvod'!$M$10="English",Slovnik!D54,Slovnik!C54)</f>
        <v xml:space="preserve">Prostory a strojní zařízení nebo vybavení </v>
      </c>
      <c r="D39" s="370">
        <f t="shared" si="10"/>
        <v>0</v>
      </c>
      <c r="E39" s="1916"/>
      <c r="F39" s="367">
        <f t="shared" si="11"/>
        <v>0</v>
      </c>
      <c r="G39" s="29"/>
      <c r="H39" s="29"/>
      <c r="I39" s="29"/>
      <c r="J39" s="29"/>
      <c r="K39" s="29"/>
      <c r="L39" s="29"/>
      <c r="M39" s="29"/>
      <c r="N39" s="29"/>
      <c r="O39" s="29"/>
      <c r="P39" s="29"/>
      <c r="Q39" s="29"/>
      <c r="R39" s="29"/>
      <c r="S39" s="29"/>
      <c r="T39" s="29"/>
      <c r="U39" s="29"/>
      <c r="V39" s="1909"/>
    </row>
    <row r="40" spans="1:22" ht="14.25" x14ac:dyDescent="0.3">
      <c r="A40" s="23"/>
      <c r="B40" s="58"/>
      <c r="C40" s="74" t="str">
        <f>IF('0 Úvod'!$M$10="English",Slovnik!D55,Slovnik!C55)</f>
        <v>Nepředvídané události</v>
      </c>
      <c r="D40" s="370">
        <f t="shared" si="10"/>
        <v>0</v>
      </c>
      <c r="E40" s="1916"/>
      <c r="F40" s="367">
        <f t="shared" si="11"/>
        <v>0</v>
      </c>
      <c r="G40" s="29"/>
      <c r="H40" s="29"/>
      <c r="I40" s="29"/>
      <c r="J40" s="29"/>
      <c r="K40" s="29"/>
      <c r="L40" s="29"/>
      <c r="M40" s="29"/>
      <c r="N40" s="29"/>
      <c r="O40" s="29"/>
      <c r="P40" s="29"/>
      <c r="Q40" s="29"/>
      <c r="R40" s="29"/>
      <c r="S40" s="29"/>
      <c r="T40" s="29"/>
      <c r="U40" s="29"/>
      <c r="V40" s="1909"/>
    </row>
    <row r="41" spans="1:22" ht="14.25" x14ac:dyDescent="0.3">
      <c r="A41" s="23"/>
      <c r="B41" s="58"/>
      <c r="C41" s="74" t="str">
        <f>IF('0 Úvod'!$M$10="English",Slovnik!D56,Slovnik!C56)</f>
        <v>Úprava ceny (v příslušném případě)</v>
      </c>
      <c r="D41" s="370">
        <f t="shared" si="10"/>
        <v>0</v>
      </c>
      <c r="E41" s="1916"/>
      <c r="F41" s="367">
        <f t="shared" si="11"/>
        <v>0</v>
      </c>
      <c r="G41" s="29"/>
      <c r="H41" s="29"/>
      <c r="I41" s="29"/>
      <c r="J41" s="29"/>
      <c r="K41" s="29"/>
      <c r="L41" s="29"/>
      <c r="M41" s="29"/>
      <c r="N41" s="29"/>
      <c r="O41" s="29"/>
      <c r="P41" s="29"/>
      <c r="Q41" s="29"/>
      <c r="R41" s="29"/>
      <c r="S41" s="29"/>
      <c r="T41" s="29"/>
      <c r="U41" s="29"/>
      <c r="V41" s="1909"/>
    </row>
    <row r="42" spans="1:22" ht="14.25" x14ac:dyDescent="0.3">
      <c r="A42" s="23"/>
      <c r="B42" s="58"/>
      <c r="C42" s="74" t="str">
        <f>IF('0 Úvod'!$M$10="English",Slovnik!D57,Slovnik!C57)</f>
        <v>Propagace</v>
      </c>
      <c r="D42" s="370">
        <f t="shared" si="10"/>
        <v>0</v>
      </c>
      <c r="E42" s="1916"/>
      <c r="F42" s="367">
        <f t="shared" si="11"/>
        <v>0</v>
      </c>
      <c r="G42" s="29"/>
      <c r="H42" s="29"/>
      <c r="I42" s="29"/>
      <c r="J42" s="29"/>
      <c r="K42" s="29"/>
      <c r="L42" s="29"/>
      <c r="M42" s="29"/>
      <c r="N42" s="29"/>
      <c r="O42" s="29"/>
      <c r="P42" s="29"/>
      <c r="Q42" s="29"/>
      <c r="R42" s="29"/>
      <c r="S42" s="29"/>
      <c r="T42" s="29"/>
      <c r="U42" s="29"/>
      <c r="V42" s="1909"/>
    </row>
    <row r="43" spans="1:22" ht="14.25" x14ac:dyDescent="0.3">
      <c r="A43" s="23"/>
      <c r="B43" s="58"/>
      <c r="C43" s="74" t="str">
        <f>IF('0 Úvod'!$M$10="English",Slovnik!D58,Slovnik!C58)</f>
        <v>Dozor v průběhu provádění výstavby</v>
      </c>
      <c r="D43" s="370">
        <f t="shared" si="10"/>
        <v>0</v>
      </c>
      <c r="E43" s="1916"/>
      <c r="F43" s="367">
        <f t="shared" si="11"/>
        <v>0</v>
      </c>
      <c r="G43" s="29"/>
      <c r="H43" s="29"/>
      <c r="I43" s="29"/>
      <c r="J43" s="29"/>
      <c r="K43" s="29"/>
      <c r="L43" s="29"/>
      <c r="M43" s="29"/>
      <c r="N43" s="29"/>
      <c r="O43" s="29"/>
      <c r="P43" s="29"/>
      <c r="Q43" s="29"/>
      <c r="R43" s="29"/>
      <c r="S43" s="29"/>
      <c r="T43" s="29"/>
      <c r="U43" s="29"/>
      <c r="V43" s="1909"/>
    </row>
    <row r="44" spans="1:22" ht="14.25" x14ac:dyDescent="0.3">
      <c r="A44" s="23"/>
      <c r="B44" s="58"/>
      <c r="C44" s="74" t="str">
        <f>IF('0 Úvod'!$M$10="English",Slovnik!D59,Slovnik!C59)</f>
        <v>Technická pomoc</v>
      </c>
      <c r="D44" s="1917">
        <f t="shared" si="10"/>
        <v>0</v>
      </c>
      <c r="E44" s="1916"/>
      <c r="F44" s="368">
        <f t="shared" si="11"/>
        <v>0</v>
      </c>
      <c r="G44" s="29"/>
      <c r="H44" s="29"/>
      <c r="I44" s="29"/>
      <c r="J44" s="29"/>
      <c r="K44" s="29"/>
      <c r="L44" s="29"/>
      <c r="M44" s="29"/>
      <c r="N44" s="29"/>
      <c r="O44" s="29"/>
      <c r="P44" s="29"/>
      <c r="Q44" s="29"/>
      <c r="R44" s="29"/>
      <c r="S44" s="29"/>
      <c r="T44" s="29"/>
      <c r="U44" s="29"/>
      <c r="V44" s="1909"/>
    </row>
    <row r="45" spans="1:22" ht="14.25" x14ac:dyDescent="0.3">
      <c r="A45" s="23"/>
      <c r="B45" s="49"/>
      <c r="C45" s="43" t="str">
        <f>IF('0 Úvod'!$M$10="English",Slovnik!D60,Slovnik!C60)</f>
        <v>Celkové investiční náklady (běžné ceny)</v>
      </c>
      <c r="D45" s="76">
        <f>SUM(D36:D44)</f>
        <v>0</v>
      </c>
      <c r="E45" s="76">
        <f>SUM(E36:E44)</f>
        <v>0</v>
      </c>
      <c r="F45" s="45">
        <f t="shared" si="11"/>
        <v>0</v>
      </c>
      <c r="G45" s="75">
        <f t="shared" ref="G45:U45" si="12">SUM(G36:G44)</f>
        <v>0</v>
      </c>
      <c r="H45" s="46">
        <f t="shared" si="12"/>
        <v>0</v>
      </c>
      <c r="I45" s="46">
        <f t="shared" si="12"/>
        <v>0</v>
      </c>
      <c r="J45" s="46">
        <f t="shared" si="12"/>
        <v>0</v>
      </c>
      <c r="K45" s="46">
        <f t="shared" si="12"/>
        <v>0</v>
      </c>
      <c r="L45" s="46">
        <f t="shared" si="12"/>
        <v>0</v>
      </c>
      <c r="M45" s="46">
        <f t="shared" si="12"/>
        <v>0</v>
      </c>
      <c r="N45" s="46">
        <f t="shared" si="12"/>
        <v>0</v>
      </c>
      <c r="O45" s="46">
        <f t="shared" si="12"/>
        <v>0</v>
      </c>
      <c r="P45" s="46">
        <f t="shared" si="12"/>
        <v>0</v>
      </c>
      <c r="Q45" s="46">
        <f t="shared" si="12"/>
        <v>0</v>
      </c>
      <c r="R45" s="46">
        <f t="shared" si="12"/>
        <v>0</v>
      </c>
      <c r="S45" s="46">
        <f t="shared" si="12"/>
        <v>0</v>
      </c>
      <c r="T45" s="46">
        <f t="shared" si="12"/>
        <v>0</v>
      </c>
      <c r="U45" s="50">
        <f t="shared" si="12"/>
        <v>0</v>
      </c>
      <c r="V45" s="1909"/>
    </row>
    <row r="46" spans="1:22" ht="15" thickBot="1" x14ac:dyDescent="0.35">
      <c r="A46" s="23"/>
      <c r="B46" s="77"/>
      <c r="C46" s="78" t="str">
        <f>IF('0 Úvod'!M10="English",Slovnik!$D$44,Slovnik!$C$44)&amp;" "&amp;'0 Úvod'!N20*100&amp;" %"</f>
        <v>DPH 21 %</v>
      </c>
      <c r="D46" s="1740">
        <f>D45*'0 Úvod'!$N$20</f>
        <v>0</v>
      </c>
      <c r="E46" s="1740">
        <f>E45*'0 Úvod'!$N$20</f>
        <v>0</v>
      </c>
      <c r="F46" s="79">
        <f t="shared" si="11"/>
        <v>0</v>
      </c>
      <c r="G46" s="238">
        <f>(G45-G37)*'0 Úvod'!$N$20</f>
        <v>0</v>
      </c>
      <c r="H46" s="238">
        <f>(H45-H37)*'0 Úvod'!$N$20</f>
        <v>0</v>
      </c>
      <c r="I46" s="238">
        <f>(I45-I37)*'0 Úvod'!$N$20</f>
        <v>0</v>
      </c>
      <c r="J46" s="238">
        <f>(J45-J37)*'0 Úvod'!$N$20</f>
        <v>0</v>
      </c>
      <c r="K46" s="238">
        <f>(K45-K37)*'0 Úvod'!$N$20</f>
        <v>0</v>
      </c>
      <c r="L46" s="238">
        <f>(L45-L37)*'0 Úvod'!$N$20</f>
        <v>0</v>
      </c>
      <c r="M46" s="238">
        <f>(M45-M37)*'0 Úvod'!$N$20</f>
        <v>0</v>
      </c>
      <c r="N46" s="238">
        <f>(N45-N37)*'0 Úvod'!$N$20</f>
        <v>0</v>
      </c>
      <c r="O46" s="238">
        <f>(O45-O37)*'0 Úvod'!$N$20</f>
        <v>0</v>
      </c>
      <c r="P46" s="238">
        <f>(P45-P37)*'0 Úvod'!$N$20</f>
        <v>0</v>
      </c>
      <c r="Q46" s="238">
        <f>(Q45-Q37)*'0 Úvod'!$N$20</f>
        <v>0</v>
      </c>
      <c r="R46" s="238">
        <f>(R45-R37)*'0 Úvod'!$N$20</f>
        <v>0</v>
      </c>
      <c r="S46" s="238">
        <f>(S45-S37)*'0 Úvod'!$N$20</f>
        <v>0</v>
      </c>
      <c r="T46" s="238">
        <f>(T45-T37)*'0 Úvod'!$N$20</f>
        <v>0</v>
      </c>
      <c r="U46" s="238">
        <f>(U45-U37)*'0 Úvod'!$N$20</f>
        <v>0</v>
      </c>
      <c r="V46" s="1909"/>
    </row>
    <row r="47" spans="1:22" ht="15" thickBot="1" x14ac:dyDescent="0.35">
      <c r="A47" s="23"/>
      <c r="B47" s="82"/>
      <c r="C47" s="83" t="str">
        <f>IF('0 Úvod'!$M$10="English",Slovnik!D61,Slovnik!C61)</f>
        <v>Celkové invest. náklady vč. DPH (běžné ceny)</v>
      </c>
      <c r="D47" s="80">
        <f>SUM(D45:D46)</f>
        <v>0</v>
      </c>
      <c r="E47" s="80">
        <f>SUM(E45:E46)</f>
        <v>0</v>
      </c>
      <c r="F47" s="81">
        <f t="shared" si="11"/>
        <v>0</v>
      </c>
      <c r="G47" s="1913">
        <f t="shared" ref="G47:U47" si="13">G46+G45</f>
        <v>0</v>
      </c>
      <c r="H47" s="1914">
        <f t="shared" si="13"/>
        <v>0</v>
      </c>
      <c r="I47" s="1914">
        <f t="shared" si="13"/>
        <v>0</v>
      </c>
      <c r="J47" s="1914">
        <f t="shared" si="13"/>
        <v>0</v>
      </c>
      <c r="K47" s="1914">
        <f t="shared" si="13"/>
        <v>0</v>
      </c>
      <c r="L47" s="1914">
        <f t="shared" si="13"/>
        <v>0</v>
      </c>
      <c r="M47" s="1914">
        <f t="shared" si="13"/>
        <v>0</v>
      </c>
      <c r="N47" s="1914">
        <f t="shared" si="13"/>
        <v>0</v>
      </c>
      <c r="O47" s="1914">
        <f t="shared" si="13"/>
        <v>0</v>
      </c>
      <c r="P47" s="1914">
        <f t="shared" si="13"/>
        <v>0</v>
      </c>
      <c r="Q47" s="1914">
        <f t="shared" si="13"/>
        <v>0</v>
      </c>
      <c r="R47" s="1914">
        <f t="shared" si="13"/>
        <v>0</v>
      </c>
      <c r="S47" s="1914">
        <f t="shared" si="13"/>
        <v>0</v>
      </c>
      <c r="T47" s="1914">
        <f t="shared" si="13"/>
        <v>0</v>
      </c>
      <c r="U47" s="1915">
        <f t="shared" si="13"/>
        <v>0</v>
      </c>
      <c r="V47" s="1909"/>
    </row>
    <row r="48" spans="1:22" ht="14.25" thickBot="1" x14ac:dyDescent="0.35">
      <c r="A48" s="23"/>
      <c r="B48" s="24"/>
      <c r="C48" s="24"/>
      <c r="D48" s="24"/>
      <c r="E48" s="25"/>
      <c r="F48" s="26"/>
      <c r="G48" s="27"/>
      <c r="H48" s="27"/>
      <c r="I48" s="27"/>
      <c r="J48" s="27"/>
      <c r="K48" s="27"/>
      <c r="L48" s="27"/>
      <c r="M48" s="27"/>
      <c r="N48" s="27"/>
      <c r="O48" s="27"/>
      <c r="P48" s="27"/>
      <c r="Q48" s="27"/>
      <c r="R48" s="27"/>
      <c r="S48" s="27"/>
      <c r="T48" s="27"/>
      <c r="U48" s="27"/>
    </row>
    <row r="49" spans="1:22" ht="14.25" x14ac:dyDescent="0.3">
      <c r="A49" s="23"/>
      <c r="B49" s="1051" t="s">
        <v>16</v>
      </c>
      <c r="C49" s="1052" t="str">
        <f>IF('0 Úvod'!$M$10="English",Slovnik!$D$48,Slovnik!$C$48)</f>
        <v>Celkové investiční náklady (CZK)</v>
      </c>
      <c r="D49" s="1052"/>
      <c r="E49" s="1052"/>
      <c r="F49" s="1053"/>
      <c r="G49" s="1054"/>
      <c r="H49" s="1055"/>
      <c r="I49" s="1055"/>
      <c r="J49" s="1055"/>
      <c r="K49" s="1055"/>
      <c r="L49" s="1055"/>
      <c r="M49" s="1055"/>
      <c r="N49" s="1055"/>
      <c r="O49" s="1055"/>
      <c r="P49" s="1055"/>
      <c r="Q49" s="1055"/>
      <c r="R49" s="1055"/>
      <c r="S49" s="1055"/>
      <c r="T49" s="1055"/>
      <c r="U49" s="1056"/>
    </row>
    <row r="50" spans="1:22" ht="14.25" x14ac:dyDescent="0.3">
      <c r="A50" s="23"/>
      <c r="B50" s="1057" t="s">
        <v>24</v>
      </c>
      <c r="C50" s="1058" t="str">
        <f>IF('0 Úvod'!$M$10="English",Slovnik!$D$49,Slovnik!$C$49)</f>
        <v>(běžné ceny)</v>
      </c>
      <c r="D50" s="2261"/>
      <c r="E50" s="2261"/>
      <c r="F50" s="2249"/>
      <c r="G50" s="1059">
        <f>U34+1</f>
        <v>2036</v>
      </c>
      <c r="H50" s="1060">
        <f>G50+1</f>
        <v>2037</v>
      </c>
      <c r="I50" s="1060">
        <f t="shared" ref="I50:U50" si="14">H50+1</f>
        <v>2038</v>
      </c>
      <c r="J50" s="1060">
        <f t="shared" si="14"/>
        <v>2039</v>
      </c>
      <c r="K50" s="1060">
        <f t="shared" si="14"/>
        <v>2040</v>
      </c>
      <c r="L50" s="1060">
        <f t="shared" si="14"/>
        <v>2041</v>
      </c>
      <c r="M50" s="1060">
        <f t="shared" si="14"/>
        <v>2042</v>
      </c>
      <c r="N50" s="1060">
        <f t="shared" si="14"/>
        <v>2043</v>
      </c>
      <c r="O50" s="1060">
        <f t="shared" si="14"/>
        <v>2044</v>
      </c>
      <c r="P50" s="1060">
        <f t="shared" si="14"/>
        <v>2045</v>
      </c>
      <c r="Q50" s="1060">
        <f t="shared" si="14"/>
        <v>2046</v>
      </c>
      <c r="R50" s="1060">
        <f t="shared" si="14"/>
        <v>2047</v>
      </c>
      <c r="S50" s="1060">
        <f t="shared" si="14"/>
        <v>2048</v>
      </c>
      <c r="T50" s="1060">
        <f t="shared" si="14"/>
        <v>2049</v>
      </c>
      <c r="U50" s="1061">
        <f t="shared" si="14"/>
        <v>2050</v>
      </c>
    </row>
    <row r="51" spans="1:22" ht="15" thickBot="1" x14ac:dyDescent="0.35">
      <c r="A51" s="23"/>
      <c r="B51" s="1062"/>
      <c r="C51" s="1063" t="str">
        <f>IF('0 Úvod'!$M$10="English",Slovnik!D50,Slovnik!C50)</f>
        <v>Způsobilost nákladů **</v>
      </c>
      <c r="D51" s="2262"/>
      <c r="E51" s="2262"/>
      <c r="F51" s="2250"/>
      <c r="G51" s="1064"/>
      <c r="H51" s="1065"/>
      <c r="I51" s="1065"/>
      <c r="J51" s="1065"/>
      <c r="K51" s="1065"/>
      <c r="L51" s="1065"/>
      <c r="M51" s="1065"/>
      <c r="N51" s="1065"/>
      <c r="O51" s="1065"/>
      <c r="P51" s="1065"/>
      <c r="Q51" s="1065"/>
      <c r="R51" s="1065"/>
      <c r="S51" s="1065"/>
      <c r="T51" s="1065"/>
      <c r="U51" s="1066"/>
    </row>
    <row r="52" spans="1:22" ht="14.25" x14ac:dyDescent="0.3">
      <c r="A52" s="23"/>
      <c r="B52" s="55"/>
      <c r="C52" s="56" t="str">
        <f>IF('0 Úvod'!$M$10="English",Slovnik!D51,Slovnik!C51)</f>
        <v>Poplatky za plány/stavební projekt</v>
      </c>
      <c r="D52" s="57"/>
      <c r="E52" s="57"/>
      <c r="F52" s="84"/>
      <c r="G52" s="29"/>
      <c r="H52" s="29"/>
      <c r="I52" s="29"/>
      <c r="J52" s="29"/>
      <c r="K52" s="29"/>
      <c r="L52" s="29"/>
      <c r="M52" s="29"/>
      <c r="N52" s="29"/>
      <c r="O52" s="29"/>
      <c r="P52" s="29"/>
      <c r="Q52" s="29"/>
      <c r="R52" s="29"/>
      <c r="S52" s="29"/>
      <c r="T52" s="29"/>
      <c r="U52" s="29"/>
      <c r="V52" s="1909"/>
    </row>
    <row r="53" spans="1:22" ht="14.25" x14ac:dyDescent="0.3">
      <c r="A53" s="23"/>
      <c r="B53" s="58"/>
      <c r="C53" s="74" t="str">
        <f>IF('0 Úvod'!$M$10="English",Slovnik!D52,Slovnik!C52)</f>
        <v>Nákup pozemků</v>
      </c>
      <c r="D53" s="60"/>
      <c r="E53" s="60"/>
      <c r="F53" s="85"/>
      <c r="G53" s="29"/>
      <c r="H53" s="29"/>
      <c r="I53" s="29"/>
      <c r="J53" s="29"/>
      <c r="K53" s="29"/>
      <c r="L53" s="29"/>
      <c r="M53" s="29"/>
      <c r="N53" s="29"/>
      <c r="O53" s="29"/>
      <c r="P53" s="29"/>
      <c r="Q53" s="29"/>
      <c r="R53" s="29"/>
      <c r="S53" s="29"/>
      <c r="T53" s="29"/>
      <c r="U53" s="29"/>
      <c r="V53" s="1909"/>
    </row>
    <row r="54" spans="1:22" ht="14.25" x14ac:dyDescent="0.3">
      <c r="A54" s="23"/>
      <c r="B54" s="58"/>
      <c r="C54" s="74" t="str">
        <f>IF('0 Úvod'!$M$10="English",Slovnik!D53,Slovnik!C53)</f>
        <v>Výstavba</v>
      </c>
      <c r="D54" s="60"/>
      <c r="E54" s="60"/>
      <c r="F54" s="85"/>
      <c r="G54" s="29"/>
      <c r="H54" s="29"/>
      <c r="I54" s="29"/>
      <c r="J54" s="29"/>
      <c r="K54" s="29"/>
      <c r="L54" s="29"/>
      <c r="M54" s="29"/>
      <c r="N54" s="29"/>
      <c r="O54" s="29"/>
      <c r="P54" s="29"/>
      <c r="Q54" s="29"/>
      <c r="R54" s="29"/>
      <c r="S54" s="29"/>
      <c r="T54" s="29"/>
      <c r="U54" s="29"/>
      <c r="V54" s="1909"/>
    </row>
    <row r="55" spans="1:22" ht="14.25" x14ac:dyDescent="0.3">
      <c r="A55" s="23"/>
      <c r="B55" s="58"/>
      <c r="C55" s="74" t="str">
        <f>IF('0 Úvod'!$M$10="English",Slovnik!D54,Slovnik!C54)</f>
        <v xml:space="preserve">Prostory a strojní zařízení nebo vybavení </v>
      </c>
      <c r="D55" s="60"/>
      <c r="E55" s="60"/>
      <c r="F55" s="85"/>
      <c r="G55" s="29"/>
      <c r="H55" s="29"/>
      <c r="I55" s="29"/>
      <c r="J55" s="29"/>
      <c r="K55" s="29"/>
      <c r="L55" s="29"/>
      <c r="M55" s="29"/>
      <c r="N55" s="29"/>
      <c r="O55" s="29"/>
      <c r="P55" s="29"/>
      <c r="Q55" s="29"/>
      <c r="R55" s="29"/>
      <c r="S55" s="29"/>
      <c r="T55" s="29"/>
      <c r="U55" s="29"/>
      <c r="V55" s="1909"/>
    </row>
    <row r="56" spans="1:22" ht="14.25" x14ac:dyDescent="0.3">
      <c r="A56" s="23"/>
      <c r="B56" s="58"/>
      <c r="C56" s="74" t="str">
        <f>IF('0 Úvod'!$M$10="English",Slovnik!D55,Slovnik!C55)</f>
        <v>Nepředvídané události</v>
      </c>
      <c r="D56" s="60"/>
      <c r="E56" s="60"/>
      <c r="F56" s="85"/>
      <c r="G56" s="29"/>
      <c r="H56" s="29"/>
      <c r="I56" s="29"/>
      <c r="J56" s="29"/>
      <c r="K56" s="29"/>
      <c r="L56" s="29"/>
      <c r="M56" s="29"/>
      <c r="N56" s="29"/>
      <c r="O56" s="29"/>
      <c r="P56" s="29"/>
      <c r="Q56" s="29"/>
      <c r="R56" s="29"/>
      <c r="S56" s="29"/>
      <c r="T56" s="29"/>
      <c r="U56" s="29"/>
      <c r="V56" s="1909"/>
    </row>
    <row r="57" spans="1:22" ht="14.25" x14ac:dyDescent="0.3">
      <c r="A57" s="23"/>
      <c r="B57" s="58"/>
      <c r="C57" s="74" t="str">
        <f>IF('0 Úvod'!$M$10="English",Slovnik!D56,Slovnik!C56)</f>
        <v>Úprava ceny (v příslušném případě)</v>
      </c>
      <c r="D57" s="60"/>
      <c r="E57" s="60"/>
      <c r="F57" s="85"/>
      <c r="G57" s="29"/>
      <c r="H57" s="29"/>
      <c r="I57" s="29"/>
      <c r="J57" s="29"/>
      <c r="K57" s="29"/>
      <c r="L57" s="29"/>
      <c r="M57" s="29"/>
      <c r="N57" s="29"/>
      <c r="O57" s="29"/>
      <c r="P57" s="29"/>
      <c r="Q57" s="29"/>
      <c r="R57" s="29"/>
      <c r="S57" s="29"/>
      <c r="T57" s="29"/>
      <c r="U57" s="29"/>
      <c r="V57" s="1909"/>
    </row>
    <row r="58" spans="1:22" ht="14.25" x14ac:dyDescent="0.3">
      <c r="A58" s="23"/>
      <c r="B58" s="58"/>
      <c r="C58" s="74" t="str">
        <f>IF('0 Úvod'!$M$10="English",Slovnik!D57,Slovnik!C57)</f>
        <v>Propagace</v>
      </c>
      <c r="D58" s="60"/>
      <c r="E58" s="60"/>
      <c r="F58" s="85"/>
      <c r="G58" s="29"/>
      <c r="H58" s="29"/>
      <c r="I58" s="29"/>
      <c r="J58" s="29"/>
      <c r="K58" s="29"/>
      <c r="L58" s="29"/>
      <c r="M58" s="29"/>
      <c r="N58" s="29"/>
      <c r="O58" s="29"/>
      <c r="P58" s="29"/>
      <c r="Q58" s="29"/>
      <c r="R58" s="29"/>
      <c r="S58" s="29"/>
      <c r="T58" s="29"/>
      <c r="U58" s="29"/>
      <c r="V58" s="1909"/>
    </row>
    <row r="59" spans="1:22" ht="14.25" x14ac:dyDescent="0.3">
      <c r="A59" s="23"/>
      <c r="B59" s="58"/>
      <c r="C59" s="74" t="str">
        <f>IF('0 Úvod'!$M$10="English",Slovnik!D58,Slovnik!C58)</f>
        <v>Dozor v průběhu provádění výstavby</v>
      </c>
      <c r="D59" s="60"/>
      <c r="E59" s="60"/>
      <c r="F59" s="85"/>
      <c r="G59" s="29"/>
      <c r="H59" s="29"/>
      <c r="I59" s="29"/>
      <c r="J59" s="29"/>
      <c r="K59" s="29"/>
      <c r="L59" s="29"/>
      <c r="M59" s="29"/>
      <c r="N59" s="29"/>
      <c r="O59" s="29"/>
      <c r="P59" s="29"/>
      <c r="Q59" s="29"/>
      <c r="R59" s="29"/>
      <c r="S59" s="29"/>
      <c r="T59" s="29"/>
      <c r="U59" s="29"/>
      <c r="V59" s="1909"/>
    </row>
    <row r="60" spans="1:22" ht="14.25" x14ac:dyDescent="0.3">
      <c r="A60" s="23"/>
      <c r="B60" s="58"/>
      <c r="C60" s="74" t="str">
        <f>IF('0 Úvod'!$M$10="English",Slovnik!D59,Slovnik!C59)</f>
        <v>Technická pomoc</v>
      </c>
      <c r="D60" s="60"/>
      <c r="E60" s="60"/>
      <c r="F60" s="85"/>
      <c r="G60" s="29"/>
      <c r="H60" s="29"/>
      <c r="I60" s="29"/>
      <c r="J60" s="29"/>
      <c r="K60" s="29"/>
      <c r="L60" s="29"/>
      <c r="M60" s="29"/>
      <c r="N60" s="29"/>
      <c r="O60" s="29"/>
      <c r="P60" s="29"/>
      <c r="Q60" s="29"/>
      <c r="R60" s="29"/>
      <c r="S60" s="29"/>
      <c r="T60" s="29"/>
      <c r="U60" s="29"/>
      <c r="V60" s="1909"/>
    </row>
    <row r="61" spans="1:22" ht="14.25" x14ac:dyDescent="0.3">
      <c r="A61" s="23"/>
      <c r="B61" s="49"/>
      <c r="C61" s="43" t="str">
        <f>IF('0 Úvod'!$M$10="English",Slovnik!D60,Slovnik!C60)</f>
        <v>Celkové investiční náklady (běžné ceny)</v>
      </c>
      <c r="D61" s="44"/>
      <c r="E61" s="44"/>
      <c r="F61" s="87"/>
      <c r="G61" s="75">
        <f t="shared" ref="G61:U61" si="15">SUM(G52:G60)</f>
        <v>0</v>
      </c>
      <c r="H61" s="46">
        <f t="shared" si="15"/>
        <v>0</v>
      </c>
      <c r="I61" s="46">
        <f t="shared" si="15"/>
        <v>0</v>
      </c>
      <c r="J61" s="46">
        <f t="shared" si="15"/>
        <v>0</v>
      </c>
      <c r="K61" s="46">
        <f t="shared" si="15"/>
        <v>0</v>
      </c>
      <c r="L61" s="46">
        <f t="shared" si="15"/>
        <v>0</v>
      </c>
      <c r="M61" s="46">
        <f t="shared" si="15"/>
        <v>0</v>
      </c>
      <c r="N61" s="46">
        <f t="shared" si="15"/>
        <v>0</v>
      </c>
      <c r="O61" s="46">
        <f t="shared" si="15"/>
        <v>0</v>
      </c>
      <c r="P61" s="46">
        <f t="shared" si="15"/>
        <v>0</v>
      </c>
      <c r="Q61" s="46">
        <f t="shared" si="15"/>
        <v>0</v>
      </c>
      <c r="R61" s="46">
        <f t="shared" si="15"/>
        <v>0</v>
      </c>
      <c r="S61" s="46">
        <f t="shared" si="15"/>
        <v>0</v>
      </c>
      <c r="T61" s="46">
        <f t="shared" si="15"/>
        <v>0</v>
      </c>
      <c r="U61" s="50">
        <f t="shared" si="15"/>
        <v>0</v>
      </c>
      <c r="V61" s="1909"/>
    </row>
    <row r="62" spans="1:22" ht="15" thickBot="1" x14ac:dyDescent="0.35">
      <c r="A62" s="23"/>
      <c r="B62" s="64"/>
      <c r="C62" s="65" t="str">
        <f>IF('0 Úvod'!M10="English",Slovnik!$D$44,Slovnik!$C$44)&amp;" "&amp;'0 Úvod'!N20*100&amp;" %"</f>
        <v>DPH 21 %</v>
      </c>
      <c r="D62" s="66"/>
      <c r="E62" s="66"/>
      <c r="F62" s="88"/>
      <c r="G62" s="238">
        <f>(G61-G53)*'0 Úvod'!$N$20</f>
        <v>0</v>
      </c>
      <c r="H62" s="238">
        <f>(H61-H53)*'0 Úvod'!$N$20</f>
        <v>0</v>
      </c>
      <c r="I62" s="238">
        <f>(I61-I53)*'0 Úvod'!$N$20</f>
        <v>0</v>
      </c>
      <c r="J62" s="238">
        <f>(J61-J53)*'0 Úvod'!$N$20</f>
        <v>0</v>
      </c>
      <c r="K62" s="238">
        <f>(K61-K53)*'0 Úvod'!$N$20</f>
        <v>0</v>
      </c>
      <c r="L62" s="238">
        <f>(L61-L53)*'0 Úvod'!$N$20</f>
        <v>0</v>
      </c>
      <c r="M62" s="238">
        <f>(M61-M53)*'0 Úvod'!$N$20</f>
        <v>0</v>
      </c>
      <c r="N62" s="238">
        <f>(N61-N53)*'0 Úvod'!$N$20</f>
        <v>0</v>
      </c>
      <c r="O62" s="238">
        <f>(O61-O53)*'0 Úvod'!$N$20</f>
        <v>0</v>
      </c>
      <c r="P62" s="238">
        <f>(P61-P53)*'0 Úvod'!$N$20</f>
        <v>0</v>
      </c>
      <c r="Q62" s="238">
        <f>(Q61-Q53)*'0 Úvod'!$N$20</f>
        <v>0</v>
      </c>
      <c r="R62" s="238">
        <f>(R61-R53)*'0 Úvod'!$N$20</f>
        <v>0</v>
      </c>
      <c r="S62" s="238">
        <f>(S61-S53)*'0 Úvod'!$N$20</f>
        <v>0</v>
      </c>
      <c r="T62" s="238">
        <f>(T61-T53)*'0 Úvod'!$N$20</f>
        <v>0</v>
      </c>
      <c r="U62" s="238">
        <f>(U61-U53)*'0 Úvod'!$N$20</f>
        <v>0</v>
      </c>
      <c r="V62" s="1909"/>
    </row>
    <row r="63" spans="1:22" ht="15" thickBot="1" x14ac:dyDescent="0.35">
      <c r="A63" s="23"/>
      <c r="B63" s="51"/>
      <c r="C63" s="52" t="str">
        <f>IF('0 Úvod'!$M$10="English",Slovnik!D61,Slovnik!C61)</f>
        <v>Celkové invest. náklady vč. DPH (běžné ceny)</v>
      </c>
      <c r="D63" s="53"/>
      <c r="E63" s="53"/>
      <c r="F63" s="86"/>
      <c r="G63" s="1913">
        <f t="shared" ref="G63:U63" si="16">G62+G61</f>
        <v>0</v>
      </c>
      <c r="H63" s="1914">
        <f t="shared" si="16"/>
        <v>0</v>
      </c>
      <c r="I63" s="1914">
        <f t="shared" si="16"/>
        <v>0</v>
      </c>
      <c r="J63" s="1914">
        <f t="shared" si="16"/>
        <v>0</v>
      </c>
      <c r="K63" s="1914">
        <f t="shared" si="16"/>
        <v>0</v>
      </c>
      <c r="L63" s="1914">
        <f t="shared" si="16"/>
        <v>0</v>
      </c>
      <c r="M63" s="1914">
        <f t="shared" si="16"/>
        <v>0</v>
      </c>
      <c r="N63" s="1914">
        <f t="shared" si="16"/>
        <v>0</v>
      </c>
      <c r="O63" s="1914">
        <f t="shared" si="16"/>
        <v>0</v>
      </c>
      <c r="P63" s="1914">
        <f t="shared" si="16"/>
        <v>0</v>
      </c>
      <c r="Q63" s="1914">
        <f t="shared" si="16"/>
        <v>0</v>
      </c>
      <c r="R63" s="1914">
        <f t="shared" si="16"/>
        <v>0</v>
      </c>
      <c r="S63" s="1914">
        <f t="shared" si="16"/>
        <v>0</v>
      </c>
      <c r="T63" s="1914">
        <f t="shared" si="16"/>
        <v>0</v>
      </c>
      <c r="U63" s="1915">
        <f t="shared" si="16"/>
        <v>0</v>
      </c>
      <c r="V63" s="1909"/>
    </row>
    <row r="64" spans="1:22" ht="13.5" x14ac:dyDescent="0.3">
      <c r="A64" s="23"/>
      <c r="B64" s="24"/>
      <c r="C64" s="24"/>
      <c r="D64" s="24"/>
      <c r="E64" s="25"/>
      <c r="F64" s="26"/>
      <c r="G64" s="27"/>
      <c r="H64" s="27"/>
      <c r="I64" s="27"/>
      <c r="J64" s="27"/>
      <c r="K64" s="27"/>
      <c r="L64" s="27"/>
      <c r="M64" s="27"/>
      <c r="N64" s="27"/>
      <c r="O64" s="27"/>
      <c r="P64" s="27"/>
      <c r="Q64" s="27"/>
      <c r="R64" s="27"/>
      <c r="S64" s="27"/>
      <c r="T64" s="27"/>
      <c r="U64" s="27"/>
    </row>
    <row r="65" spans="1:21" ht="14.25" thickBot="1" x14ac:dyDescent="0.35">
      <c r="A65" s="23"/>
      <c r="B65" s="25"/>
      <c r="C65" s="25"/>
      <c r="D65" s="25"/>
      <c r="E65" s="25"/>
      <c r="F65" s="26"/>
      <c r="G65" s="27"/>
      <c r="H65" s="27"/>
      <c r="I65" s="27"/>
      <c r="J65" s="27"/>
      <c r="K65" s="27"/>
      <c r="L65" s="27"/>
      <c r="M65" s="27"/>
      <c r="N65" s="27"/>
      <c r="O65" s="27"/>
      <c r="P65" s="27"/>
      <c r="Q65" s="27"/>
      <c r="R65" s="27"/>
      <c r="S65" s="27"/>
      <c r="T65" s="27"/>
      <c r="U65" s="27"/>
    </row>
    <row r="66" spans="1:21" ht="14.25" customHeight="1" x14ac:dyDescent="0.3">
      <c r="A66" s="23"/>
      <c r="B66" s="2251" t="str">
        <f>IF('0 Úvod'!$M$10="English",Slovnik!$D$64,Slovnik!$C$64)</f>
        <v>Komentáře</v>
      </c>
      <c r="C66" s="2252"/>
      <c r="D66" s="2252"/>
      <c r="E66" s="2252"/>
      <c r="F66" s="2252"/>
      <c r="G66" s="2252"/>
      <c r="H66" s="2252"/>
      <c r="I66" s="2252"/>
      <c r="J66" s="2252"/>
      <c r="K66" s="2252"/>
      <c r="L66" s="2252"/>
      <c r="M66" s="2252"/>
      <c r="N66" s="2252"/>
      <c r="O66" s="2252"/>
      <c r="P66" s="2252"/>
      <c r="Q66" s="2252"/>
      <c r="R66" s="2252"/>
      <c r="S66" s="2252"/>
      <c r="T66" s="2252"/>
      <c r="U66" s="2253"/>
    </row>
    <row r="67" spans="1:21" ht="14.25" customHeight="1" thickBot="1" x14ac:dyDescent="0.35">
      <c r="A67" s="23"/>
      <c r="B67" s="2254"/>
      <c r="C67" s="2255"/>
      <c r="D67" s="2255"/>
      <c r="E67" s="2255"/>
      <c r="F67" s="2255"/>
      <c r="G67" s="2255"/>
      <c r="H67" s="2255"/>
      <c r="I67" s="2255"/>
      <c r="J67" s="2255"/>
      <c r="K67" s="2255"/>
      <c r="L67" s="2255"/>
      <c r="M67" s="2255"/>
      <c r="N67" s="2255"/>
      <c r="O67" s="2255"/>
      <c r="P67" s="2255"/>
      <c r="Q67" s="2255"/>
      <c r="R67" s="2255"/>
      <c r="S67" s="2255"/>
      <c r="T67" s="2255"/>
      <c r="U67" s="2256"/>
    </row>
    <row r="68" spans="1:21" ht="14.25" x14ac:dyDescent="0.3">
      <c r="A68" s="23"/>
      <c r="B68" s="92" t="str">
        <f>IF('0 Úvod'!$M$10="English",Slovnik!$D$65,Slovnik!$C$65)</f>
        <v>*  v případě "souboru staveb" - celkové náklady se vztahují na celý projekt</v>
      </c>
      <c r="C68" s="93"/>
      <c r="D68" s="94"/>
      <c r="E68" s="94"/>
      <c r="F68" s="94"/>
      <c r="G68" s="95"/>
      <c r="H68" s="96"/>
      <c r="I68" s="96"/>
      <c r="J68" s="96"/>
      <c r="K68" s="96"/>
      <c r="L68" s="96"/>
      <c r="M68" s="96"/>
      <c r="N68" s="96"/>
      <c r="O68" s="96"/>
      <c r="P68" s="96"/>
      <c r="Q68" s="203"/>
      <c r="R68" s="203"/>
      <c r="S68" s="203"/>
      <c r="T68" s="203"/>
      <c r="U68" s="204"/>
    </row>
    <row r="69" spans="1:21" ht="15" thickBot="1" x14ac:dyDescent="0.35">
      <c r="A69" s="23"/>
      <c r="B69" s="89" t="str">
        <f>IF('0 Úvod'!$M$10="English",Slovnik!$E$64,Slovnik!$E$63)</f>
        <v xml:space="preserve">**  jednotlivé položky odpovídají definici dle prováděcího Nařízení komise (EU) 2015/207 přílohy II, části C.1 </v>
      </c>
      <c r="C69" s="90"/>
      <c r="D69" s="90"/>
      <c r="E69" s="90"/>
      <c r="F69" s="90"/>
      <c r="G69" s="91"/>
      <c r="H69" s="90"/>
      <c r="I69" s="90"/>
      <c r="J69" s="90"/>
      <c r="K69" s="90"/>
      <c r="L69" s="90"/>
      <c r="M69" s="90"/>
      <c r="N69" s="90"/>
      <c r="O69" s="90"/>
      <c r="P69" s="90"/>
      <c r="Q69" s="205"/>
      <c r="R69" s="205"/>
      <c r="S69" s="205"/>
      <c r="T69" s="205"/>
      <c r="U69" s="206"/>
    </row>
    <row r="70" spans="1:21" x14ac:dyDescent="0.2">
      <c r="A70" s="10"/>
      <c r="B70" s="11"/>
      <c r="C70" s="11"/>
      <c r="D70" s="11"/>
      <c r="E70" s="10"/>
      <c r="F70" s="10"/>
      <c r="G70" s="10"/>
      <c r="H70" s="10"/>
      <c r="I70" s="10"/>
      <c r="J70" s="10"/>
      <c r="K70" s="10"/>
      <c r="L70" s="10"/>
      <c r="M70" s="10"/>
      <c r="N70" s="10"/>
      <c r="O70" s="10"/>
      <c r="P70" s="10"/>
      <c r="Q70" s="10"/>
      <c r="R70" s="10"/>
      <c r="S70" s="10"/>
      <c r="T70" s="10"/>
      <c r="U70" s="10"/>
    </row>
    <row r="71" spans="1:21" x14ac:dyDescent="0.2">
      <c r="B71" s="7"/>
      <c r="C71" s="7"/>
      <c r="D71" s="2"/>
      <c r="K71" s="3"/>
      <c r="L71" s="1"/>
    </row>
    <row r="72" spans="1:21" x14ac:dyDescent="0.2">
      <c r="B72" s="9"/>
      <c r="C72" s="19"/>
    </row>
    <row r="73" spans="1:21" x14ac:dyDescent="0.2">
      <c r="B73" s="9"/>
      <c r="C73" s="9"/>
    </row>
  </sheetData>
  <sheetProtection algorithmName="SHA-512" hashValue="MJ5IXVVFZIBFOGlVZQZeWSdNM4UpLpq5erThptaG5/0pCc/RI81G2CCOK7/xQQAqwxqc4vfZn1Sp5aGezQRa/w==" saltValue="TnpYCRD6+sJXXo59fN1joA==" spinCount="100000" sheet="1" formatCells="0" formatColumns="0" formatRows="0" insertColumns="0" insertRows="0" insertHyperlinks="0" deleteColumns="0" deleteRows="0" sort="0" autoFilter="0" pivotTables="0"/>
  <mergeCells count="13">
    <mergeCell ref="F50:F51"/>
    <mergeCell ref="B66:U67"/>
    <mergeCell ref="F3:F4"/>
    <mergeCell ref="E3:E4"/>
    <mergeCell ref="D3:D4"/>
    <mergeCell ref="D50:D51"/>
    <mergeCell ref="E50:E51"/>
    <mergeCell ref="D18:D19"/>
    <mergeCell ref="E18:E19"/>
    <mergeCell ref="F18:F19"/>
    <mergeCell ref="D34:D35"/>
    <mergeCell ref="E34:E35"/>
    <mergeCell ref="F34:F35"/>
  </mergeCells>
  <phoneticPr fontId="0" type="noConversion"/>
  <pageMargins left="0.39370078740157483" right="0.35433070866141736" top="0.98425196850393704" bottom="0.78740157480314965" header="0.39370078740157483" footer="0.39370078740157483"/>
  <pageSetup paperSize="192" scale="52" orientation="landscape" r:id="rId1"/>
  <headerFooter alignWithMargins="0">
    <oddFooter>&amp;L&amp;A&amp;C&amp;D</oddFooter>
  </headerFooter>
  <ignoredErrors>
    <ignoredError sqref="F14" unlockedFormula="1"/>
    <ignoredError sqref="F45:U45" formula="1"/>
    <ignoredError sqref="F46" formula="1" unlockedFormula="1"/>
  </ignoredErrors>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2:R2569"/>
  <sheetViews>
    <sheetView zoomScale="80" zoomScaleNormal="80" zoomScaleSheetLayoutView="80" workbookViewId="0">
      <pane ySplit="2" topLeftCell="A3" activePane="bottomLeft" state="frozen"/>
      <selection pane="bottomLeft"/>
    </sheetView>
  </sheetViews>
  <sheetFormatPr defaultRowHeight="12.75" x14ac:dyDescent="0.2"/>
  <cols>
    <col min="1" max="1" width="6" style="1727" customWidth="1"/>
    <col min="2" max="2" width="9.140625" style="1729"/>
    <col min="3" max="3" width="59.5703125" style="1728" customWidth="1"/>
    <col min="4" max="4" width="47.42578125" style="1727" customWidth="1"/>
    <col min="5" max="5" width="6.28515625" style="1727" customWidth="1"/>
    <col min="6" max="6" width="4.85546875" style="1727" customWidth="1"/>
    <col min="7" max="7" width="3.140625" style="1727" customWidth="1"/>
    <col min="8" max="8" width="34.42578125" style="1727" customWidth="1"/>
    <col min="9" max="16384" width="9.140625" style="1727"/>
  </cols>
  <sheetData>
    <row r="2" spans="2:6" x14ac:dyDescent="0.2">
      <c r="B2" s="1729" t="s">
        <v>662</v>
      </c>
      <c r="C2" s="1729" t="s">
        <v>661</v>
      </c>
      <c r="D2" s="1729" t="s">
        <v>286</v>
      </c>
      <c r="E2" s="1734" t="s">
        <v>660</v>
      </c>
      <c r="F2" s="1889" t="s">
        <v>1368</v>
      </c>
    </row>
    <row r="3" spans="2:6" x14ac:dyDescent="0.2">
      <c r="B3" s="1729">
        <v>3</v>
      </c>
      <c r="C3" s="1728" t="str">
        <f>"Verze "&amp;F2</f>
        <v>Verze 1.08</v>
      </c>
      <c r="D3" s="1727" t="str">
        <f>"Version "&amp;F2</f>
        <v>Version 1.08</v>
      </c>
    </row>
    <row r="4" spans="2:6" x14ac:dyDescent="0.2">
      <c r="B4" s="1729">
        <v>4</v>
      </c>
      <c r="C4" s="1728" t="s">
        <v>659</v>
      </c>
      <c r="D4" s="1727" t="s">
        <v>658</v>
      </c>
    </row>
    <row r="5" spans="2:6" x14ac:dyDescent="0.2">
      <c r="B5" s="1729">
        <v>5</v>
      </c>
      <c r="C5" s="1728" t="s">
        <v>657</v>
      </c>
      <c r="D5" s="1727" t="s">
        <v>656</v>
      </c>
      <c r="E5" s="1727" t="s">
        <v>655</v>
      </c>
    </row>
    <row r="6" spans="2:6" x14ac:dyDescent="0.2">
      <c r="B6" s="1729">
        <v>6</v>
      </c>
      <c r="C6" s="1728" t="s">
        <v>654</v>
      </c>
      <c r="D6" s="1727" t="s">
        <v>653</v>
      </c>
      <c r="E6" s="1733" t="s">
        <v>1305</v>
      </c>
    </row>
    <row r="7" spans="2:6" x14ac:dyDescent="0.2">
      <c r="B7" s="1729">
        <v>7</v>
      </c>
      <c r="C7" s="1728" t="s">
        <v>1369</v>
      </c>
      <c r="D7" s="1727" t="s">
        <v>1370</v>
      </c>
    </row>
    <row r="8" spans="2:6" hidden="1" x14ac:dyDescent="0.2">
      <c r="B8" s="1729">
        <v>8</v>
      </c>
      <c r="C8" s="1728" t="s">
        <v>652</v>
      </c>
      <c r="D8" s="1727" t="s">
        <v>651</v>
      </c>
    </row>
    <row r="9" spans="2:6" x14ac:dyDescent="0.2">
      <c r="B9" s="1729">
        <v>9</v>
      </c>
      <c r="C9" s="1728" t="s">
        <v>35</v>
      </c>
      <c r="D9" s="1727" t="s">
        <v>1148</v>
      </c>
    </row>
    <row r="10" spans="2:6" x14ac:dyDescent="0.2">
      <c r="B10" s="1729">
        <v>10</v>
      </c>
      <c r="C10" s="1728" t="s">
        <v>650</v>
      </c>
      <c r="D10" s="1727" t="s">
        <v>649</v>
      </c>
    </row>
    <row r="11" spans="2:6" x14ac:dyDescent="0.2">
      <c r="B11" s="1729">
        <v>11</v>
      </c>
      <c r="C11" s="1728" t="s">
        <v>648</v>
      </c>
      <c r="D11" s="1727" t="s">
        <v>647</v>
      </c>
    </row>
    <row r="12" spans="2:6" x14ac:dyDescent="0.2">
      <c r="B12" s="1729">
        <v>12</v>
      </c>
      <c r="C12" s="1728" t="s">
        <v>646</v>
      </c>
      <c r="D12" s="1727" t="s">
        <v>726</v>
      </c>
    </row>
    <row r="13" spans="2:6" x14ac:dyDescent="0.2">
      <c r="B13" s="1729">
        <v>13</v>
      </c>
      <c r="C13" s="1728" t="s">
        <v>645</v>
      </c>
      <c r="D13" s="1727" t="s">
        <v>644</v>
      </c>
    </row>
    <row r="14" spans="2:6" x14ac:dyDescent="0.2">
      <c r="B14" s="1729">
        <v>14</v>
      </c>
      <c r="C14" s="1728" t="s">
        <v>643</v>
      </c>
      <c r="D14" s="1727" t="s">
        <v>727</v>
      </c>
    </row>
    <row r="15" spans="2:6" x14ac:dyDescent="0.2">
      <c r="B15" s="1729">
        <v>15</v>
      </c>
      <c r="C15" s="1728" t="s">
        <v>642</v>
      </c>
      <c r="D15" s="1727" t="s">
        <v>641</v>
      </c>
    </row>
    <row r="16" spans="2:6" x14ac:dyDescent="0.2">
      <c r="B16" s="1729">
        <v>16</v>
      </c>
      <c r="C16" s="1728" t="s">
        <v>640</v>
      </c>
      <c r="D16" s="1727" t="s">
        <v>639</v>
      </c>
    </row>
    <row r="17" spans="2:5" x14ac:dyDescent="0.2">
      <c r="B17" s="1729">
        <v>17</v>
      </c>
      <c r="C17" s="1728" t="s">
        <v>614</v>
      </c>
      <c r="D17" s="1727" t="s">
        <v>613</v>
      </c>
    </row>
    <row r="18" spans="2:5" x14ac:dyDescent="0.2">
      <c r="B18" s="1729">
        <v>18</v>
      </c>
      <c r="C18" s="1728" t="s">
        <v>638</v>
      </c>
      <c r="D18" s="1727" t="s">
        <v>728</v>
      </c>
    </row>
    <row r="19" spans="2:5" x14ac:dyDescent="0.2">
      <c r="B19" s="1729">
        <v>19</v>
      </c>
      <c r="C19" s="1728" t="s">
        <v>637</v>
      </c>
      <c r="D19" s="1727" t="s">
        <v>729</v>
      </c>
    </row>
    <row r="20" spans="2:5" x14ac:dyDescent="0.2">
      <c r="B20" s="1729">
        <v>20</v>
      </c>
      <c r="C20" s="1728" t="s">
        <v>636</v>
      </c>
      <c r="D20" s="1727" t="s">
        <v>730</v>
      </c>
    </row>
    <row r="21" spans="2:5" x14ac:dyDescent="0.2">
      <c r="B21" s="1729">
        <v>21</v>
      </c>
      <c r="C21" s="1728" t="s">
        <v>635</v>
      </c>
      <c r="D21" s="1727" t="s">
        <v>731</v>
      </c>
    </row>
    <row r="22" spans="2:5" x14ac:dyDescent="0.2">
      <c r="B22" s="1729">
        <v>22</v>
      </c>
      <c r="C22" s="1728" t="s">
        <v>634</v>
      </c>
      <c r="D22" s="1727" t="s">
        <v>732</v>
      </c>
    </row>
    <row r="23" spans="2:5" x14ac:dyDescent="0.2">
      <c r="B23" s="1729">
        <v>23</v>
      </c>
      <c r="C23" s="1728" t="s">
        <v>633</v>
      </c>
      <c r="D23" s="1727" t="s">
        <v>733</v>
      </c>
    </row>
    <row r="24" spans="2:5" x14ac:dyDescent="0.2">
      <c r="B24" s="1729">
        <v>24</v>
      </c>
      <c r="C24" s="1728" t="s">
        <v>632</v>
      </c>
      <c r="D24" s="1727" t="s">
        <v>734</v>
      </c>
      <c r="E24" s="1727" t="s">
        <v>1374</v>
      </c>
    </row>
    <row r="25" spans="2:5" x14ac:dyDescent="0.2">
      <c r="B25" s="1729">
        <v>25</v>
      </c>
      <c r="C25" s="1728" t="s">
        <v>1376</v>
      </c>
      <c r="D25" s="1727" t="s">
        <v>1377</v>
      </c>
      <c r="E25" s="1727" t="s">
        <v>1375</v>
      </c>
    </row>
    <row r="26" spans="2:5" x14ac:dyDescent="0.2">
      <c r="B26" s="1729">
        <v>26</v>
      </c>
      <c r="C26" s="1728" t="s">
        <v>631</v>
      </c>
      <c r="D26" s="1727" t="s">
        <v>735</v>
      </c>
    </row>
    <row r="27" spans="2:5" x14ac:dyDescent="0.2">
      <c r="B27" s="1729">
        <v>27</v>
      </c>
      <c r="C27" s="1728" t="s">
        <v>630</v>
      </c>
      <c r="D27" s="1727" t="s">
        <v>736</v>
      </c>
    </row>
    <row r="28" spans="2:5" x14ac:dyDescent="0.2">
      <c r="B28" s="1729">
        <v>28</v>
      </c>
      <c r="C28" s="1728" t="s">
        <v>629</v>
      </c>
      <c r="D28" s="1727" t="s">
        <v>737</v>
      </c>
      <c r="E28" s="1727" t="s">
        <v>1399</v>
      </c>
    </row>
    <row r="29" spans="2:5" x14ac:dyDescent="0.2">
      <c r="B29" s="1729">
        <v>29</v>
      </c>
      <c r="C29" s="1728" t="s">
        <v>628</v>
      </c>
      <c r="D29" s="1730" t="s">
        <v>738</v>
      </c>
      <c r="E29" s="1727" t="s">
        <v>1400</v>
      </c>
    </row>
    <row r="30" spans="2:5" x14ac:dyDescent="0.2">
      <c r="B30" s="1729">
        <v>30</v>
      </c>
      <c r="C30" s="1728" t="s">
        <v>627</v>
      </c>
      <c r="D30" s="1727" t="s">
        <v>739</v>
      </c>
    </row>
    <row r="31" spans="2:5" x14ac:dyDescent="0.2">
      <c r="B31" s="1729">
        <v>31</v>
      </c>
      <c r="C31" s="1731" t="s">
        <v>626</v>
      </c>
      <c r="D31" s="1727" t="s">
        <v>740</v>
      </c>
      <c r="E31" s="1727" t="s">
        <v>711</v>
      </c>
    </row>
    <row r="32" spans="2:5" x14ac:dyDescent="0.2">
      <c r="B32" s="1729">
        <v>32</v>
      </c>
      <c r="C32" s="1728" t="s">
        <v>625</v>
      </c>
      <c r="D32" s="1727" t="s">
        <v>624</v>
      </c>
      <c r="E32" s="1727" t="s">
        <v>1255</v>
      </c>
    </row>
    <row r="33" spans="2:4" x14ac:dyDescent="0.2">
      <c r="B33" s="1729">
        <v>33</v>
      </c>
      <c r="C33" s="1728" t="s">
        <v>623</v>
      </c>
      <c r="D33" s="1727" t="s">
        <v>622</v>
      </c>
    </row>
    <row r="34" spans="2:4" x14ac:dyDescent="0.2">
      <c r="B34" s="1729">
        <v>34</v>
      </c>
      <c r="C34" s="1728" t="s">
        <v>459</v>
      </c>
      <c r="D34" s="1727" t="s">
        <v>458</v>
      </c>
    </row>
    <row r="35" spans="2:4" x14ac:dyDescent="0.2">
      <c r="B35" s="1729">
        <v>35</v>
      </c>
      <c r="C35" s="1728" t="s">
        <v>621</v>
      </c>
      <c r="D35" s="1727" t="s">
        <v>741</v>
      </c>
    </row>
    <row r="36" spans="2:4" x14ac:dyDescent="0.2">
      <c r="B36" s="1729">
        <v>36</v>
      </c>
      <c r="C36" s="1728" t="s">
        <v>620</v>
      </c>
      <c r="D36" s="1727" t="s">
        <v>742</v>
      </c>
    </row>
    <row r="37" spans="2:4" x14ac:dyDescent="0.2">
      <c r="B37" s="1729">
        <v>37</v>
      </c>
      <c r="C37" s="1728" t="s">
        <v>619</v>
      </c>
      <c r="D37" s="1727" t="s">
        <v>743</v>
      </c>
    </row>
    <row r="38" spans="2:4" x14ac:dyDescent="0.2">
      <c r="B38" s="1729">
        <v>38</v>
      </c>
      <c r="C38" s="1728" t="s">
        <v>618</v>
      </c>
      <c r="D38" s="1727" t="s">
        <v>744</v>
      </c>
    </row>
    <row r="39" spans="2:4" x14ac:dyDescent="0.2">
      <c r="B39" s="1729">
        <v>39</v>
      </c>
      <c r="C39" s="1728" t="s">
        <v>288</v>
      </c>
      <c r="D39" s="1727" t="s">
        <v>745</v>
      </c>
    </row>
    <row r="40" spans="2:4" x14ac:dyDescent="0.2">
      <c r="B40" s="1729">
        <v>40</v>
      </c>
      <c r="C40" s="1728" t="s">
        <v>287</v>
      </c>
      <c r="D40" s="1727" t="s">
        <v>746</v>
      </c>
    </row>
    <row r="41" spans="2:4" x14ac:dyDescent="0.2">
      <c r="B41" s="1729">
        <v>41</v>
      </c>
      <c r="C41" s="1728" t="s">
        <v>617</v>
      </c>
      <c r="D41" s="1727" t="s">
        <v>747</v>
      </c>
    </row>
    <row r="42" spans="2:4" x14ac:dyDescent="0.2">
      <c r="B42" s="1729">
        <v>42</v>
      </c>
      <c r="C42" s="1728" t="s">
        <v>616</v>
      </c>
      <c r="D42" s="1727" t="s">
        <v>748</v>
      </c>
    </row>
    <row r="43" spans="2:4" x14ac:dyDescent="0.2">
      <c r="B43" s="1729">
        <v>43</v>
      </c>
      <c r="C43" s="1728" t="s">
        <v>615</v>
      </c>
      <c r="D43" s="1730" t="s">
        <v>749</v>
      </c>
    </row>
    <row r="44" spans="2:4" x14ac:dyDescent="0.2">
      <c r="B44" s="1729">
        <v>44</v>
      </c>
      <c r="C44" s="1728" t="s">
        <v>614</v>
      </c>
      <c r="D44" s="1727" t="s">
        <v>613</v>
      </c>
    </row>
    <row r="45" spans="2:4" x14ac:dyDescent="0.2">
      <c r="B45" s="1729">
        <v>45</v>
      </c>
      <c r="C45" s="1728" t="s">
        <v>612</v>
      </c>
      <c r="D45" s="1727" t="s">
        <v>750</v>
      </c>
    </row>
    <row r="46" spans="2:4" x14ac:dyDescent="0.2">
      <c r="B46" s="1729">
        <v>46</v>
      </c>
      <c r="C46" s="1728" t="s">
        <v>595</v>
      </c>
      <c r="D46" s="1727" t="s">
        <v>751</v>
      </c>
    </row>
    <row r="47" spans="2:4" x14ac:dyDescent="0.2">
      <c r="B47" s="1729">
        <v>47</v>
      </c>
      <c r="C47" s="1728" t="s">
        <v>611</v>
      </c>
      <c r="D47" s="1727" t="s">
        <v>752</v>
      </c>
    </row>
    <row r="48" spans="2:4" x14ac:dyDescent="0.2">
      <c r="B48" s="1729">
        <v>48</v>
      </c>
      <c r="C48" s="1728" t="s">
        <v>610</v>
      </c>
      <c r="D48" s="1727" t="s">
        <v>753</v>
      </c>
    </row>
    <row r="49" spans="2:5" x14ac:dyDescent="0.2">
      <c r="B49" s="1729">
        <v>49</v>
      </c>
      <c r="C49" s="1728" t="s">
        <v>609</v>
      </c>
      <c r="D49" s="1727" t="s">
        <v>754</v>
      </c>
    </row>
    <row r="50" spans="2:5" x14ac:dyDescent="0.2">
      <c r="B50" s="1729">
        <v>50</v>
      </c>
      <c r="C50" s="1728" t="s">
        <v>608</v>
      </c>
      <c r="D50" s="1727" t="s">
        <v>755</v>
      </c>
    </row>
    <row r="51" spans="2:5" x14ac:dyDescent="0.2">
      <c r="B51" s="1729">
        <v>51</v>
      </c>
      <c r="C51" s="1728" t="s">
        <v>607</v>
      </c>
      <c r="D51" s="1727" t="s">
        <v>756</v>
      </c>
    </row>
    <row r="52" spans="2:5" x14ac:dyDescent="0.2">
      <c r="B52" s="1729">
        <v>52</v>
      </c>
      <c r="C52" s="1728" t="s">
        <v>606</v>
      </c>
      <c r="D52" s="1727" t="s">
        <v>757</v>
      </c>
    </row>
    <row r="53" spans="2:5" x14ac:dyDescent="0.2">
      <c r="B53" s="1729">
        <v>53</v>
      </c>
      <c r="C53" s="1728" t="s">
        <v>605</v>
      </c>
      <c r="D53" s="1727" t="s">
        <v>758</v>
      </c>
    </row>
    <row r="54" spans="2:5" x14ac:dyDescent="0.2">
      <c r="B54" s="1729">
        <v>54</v>
      </c>
      <c r="C54" s="1728" t="s">
        <v>604</v>
      </c>
      <c r="D54" s="1727" t="s">
        <v>759</v>
      </c>
    </row>
    <row r="55" spans="2:5" x14ac:dyDescent="0.2">
      <c r="B55" s="1729">
        <v>55</v>
      </c>
      <c r="C55" s="1728" t="s">
        <v>603</v>
      </c>
      <c r="D55" s="1727" t="s">
        <v>760</v>
      </c>
    </row>
    <row r="56" spans="2:5" x14ac:dyDescent="0.2">
      <c r="B56" s="1729">
        <v>56</v>
      </c>
      <c r="C56" s="1728" t="s">
        <v>602</v>
      </c>
      <c r="D56" s="1727" t="s">
        <v>761</v>
      </c>
    </row>
    <row r="57" spans="2:5" x14ac:dyDescent="0.2">
      <c r="B57" s="1729">
        <v>57</v>
      </c>
      <c r="C57" s="1728" t="s">
        <v>601</v>
      </c>
      <c r="D57" s="1727" t="s">
        <v>762</v>
      </c>
    </row>
    <row r="58" spans="2:5" x14ac:dyDescent="0.2">
      <c r="B58" s="1729">
        <v>58</v>
      </c>
      <c r="C58" s="1728" t="s">
        <v>600</v>
      </c>
      <c r="D58" s="1727" t="s">
        <v>763</v>
      </c>
    </row>
    <row r="59" spans="2:5" x14ac:dyDescent="0.2">
      <c r="B59" s="1729">
        <v>59</v>
      </c>
      <c r="C59" s="1728" t="s">
        <v>599</v>
      </c>
      <c r="D59" s="1727" t="s">
        <v>764</v>
      </c>
    </row>
    <row r="60" spans="2:5" x14ac:dyDescent="0.2">
      <c r="B60" s="1729">
        <v>60</v>
      </c>
      <c r="C60" s="1728" t="s">
        <v>598</v>
      </c>
      <c r="D60" s="1727" t="s">
        <v>765</v>
      </c>
    </row>
    <row r="61" spans="2:5" x14ac:dyDescent="0.2">
      <c r="B61" s="1729">
        <v>61</v>
      </c>
      <c r="C61" s="1728" t="s">
        <v>597</v>
      </c>
      <c r="D61" s="1727" t="s">
        <v>766</v>
      </c>
    </row>
    <row r="62" spans="2:5" x14ac:dyDescent="0.2">
      <c r="B62" s="1729">
        <v>62</v>
      </c>
      <c r="C62" s="1728" t="s">
        <v>596</v>
      </c>
      <c r="D62" s="1727" t="s">
        <v>767</v>
      </c>
    </row>
    <row r="63" spans="2:5" x14ac:dyDescent="0.2">
      <c r="B63" s="1729">
        <v>63</v>
      </c>
      <c r="C63" s="1728" t="s">
        <v>595</v>
      </c>
      <c r="D63" s="1727" t="s">
        <v>751</v>
      </c>
      <c r="E63" s="1727" t="s">
        <v>594</v>
      </c>
    </row>
    <row r="64" spans="2:5" x14ac:dyDescent="0.2">
      <c r="B64" s="1729">
        <v>64</v>
      </c>
      <c r="C64" s="1728" t="s">
        <v>38</v>
      </c>
      <c r="D64" s="1727" t="s">
        <v>768</v>
      </c>
      <c r="E64" s="1727" t="s">
        <v>1256</v>
      </c>
    </row>
    <row r="65" spans="2:4" x14ac:dyDescent="0.2">
      <c r="B65" s="1729">
        <v>65</v>
      </c>
      <c r="C65" s="1728" t="s">
        <v>593</v>
      </c>
      <c r="D65" s="1727" t="s">
        <v>769</v>
      </c>
    </row>
    <row r="66" spans="2:4" x14ac:dyDescent="0.2">
      <c r="B66" s="1729">
        <v>66</v>
      </c>
      <c r="C66" s="1731" t="s">
        <v>592</v>
      </c>
      <c r="D66" s="1727" t="s">
        <v>770</v>
      </c>
    </row>
    <row r="67" spans="2:4" x14ac:dyDescent="0.2">
      <c r="B67" s="1729">
        <v>67</v>
      </c>
      <c r="C67" s="1728" t="s">
        <v>1379</v>
      </c>
      <c r="D67" s="1727" t="s">
        <v>1380</v>
      </c>
    </row>
    <row r="68" spans="2:4" x14ac:dyDescent="0.2">
      <c r="B68" s="1729">
        <v>68</v>
      </c>
      <c r="C68" s="1728" t="s">
        <v>127</v>
      </c>
      <c r="D68" s="1727" t="s">
        <v>771</v>
      </c>
    </row>
    <row r="69" spans="2:4" x14ac:dyDescent="0.2">
      <c r="B69" s="1729">
        <v>69</v>
      </c>
      <c r="C69" s="1728" t="s">
        <v>129</v>
      </c>
      <c r="D69" s="1727" t="s">
        <v>772</v>
      </c>
    </row>
    <row r="70" spans="2:4" x14ac:dyDescent="0.2">
      <c r="B70" s="1729">
        <v>70</v>
      </c>
      <c r="C70" s="1728" t="s">
        <v>591</v>
      </c>
      <c r="D70" s="1727" t="s">
        <v>773</v>
      </c>
    </row>
    <row r="71" spans="2:4" x14ac:dyDescent="0.2">
      <c r="B71" s="1729">
        <v>71</v>
      </c>
      <c r="C71" s="1728" t="s">
        <v>317</v>
      </c>
      <c r="D71" s="1727" t="s">
        <v>774</v>
      </c>
    </row>
    <row r="72" spans="2:4" x14ac:dyDescent="0.2">
      <c r="B72" s="1729">
        <v>72</v>
      </c>
      <c r="C72" s="1728" t="s">
        <v>316</v>
      </c>
      <c r="D72" s="1727" t="s">
        <v>775</v>
      </c>
    </row>
    <row r="73" spans="2:4" x14ac:dyDescent="0.2">
      <c r="B73" s="1729">
        <v>73</v>
      </c>
      <c r="C73" s="1728" t="s">
        <v>315</v>
      </c>
      <c r="D73" s="1727" t="s">
        <v>776</v>
      </c>
    </row>
    <row r="74" spans="2:4" x14ac:dyDescent="0.2">
      <c r="B74" s="1729">
        <v>74</v>
      </c>
      <c r="C74" s="1728" t="s">
        <v>314</v>
      </c>
      <c r="D74" s="1727" t="s">
        <v>777</v>
      </c>
    </row>
    <row r="75" spans="2:4" x14ac:dyDescent="0.2">
      <c r="B75" s="1729">
        <v>75</v>
      </c>
      <c r="C75" s="1728" t="s">
        <v>313</v>
      </c>
      <c r="D75" s="1727" t="s">
        <v>778</v>
      </c>
    </row>
    <row r="76" spans="2:4" x14ac:dyDescent="0.2">
      <c r="B76" s="1729">
        <v>76</v>
      </c>
      <c r="C76" s="1728" t="s">
        <v>312</v>
      </c>
      <c r="D76" s="1727" t="s">
        <v>779</v>
      </c>
    </row>
    <row r="77" spans="2:4" x14ac:dyDescent="0.2">
      <c r="B77" s="1729">
        <v>77</v>
      </c>
      <c r="C77" s="1728" t="s">
        <v>311</v>
      </c>
      <c r="D77" s="1727" t="s">
        <v>780</v>
      </c>
    </row>
    <row r="78" spans="2:4" x14ac:dyDescent="0.2">
      <c r="B78" s="1729">
        <v>78</v>
      </c>
      <c r="C78" s="1728" t="s">
        <v>114</v>
      </c>
      <c r="D78" s="1727" t="s">
        <v>781</v>
      </c>
    </row>
    <row r="79" spans="2:4" x14ac:dyDescent="0.2">
      <c r="B79" s="1729">
        <v>79</v>
      </c>
      <c r="C79" s="1728" t="s">
        <v>296</v>
      </c>
      <c r="D79" s="1727" t="s">
        <v>782</v>
      </c>
    </row>
    <row r="80" spans="2:4" x14ac:dyDescent="0.2">
      <c r="B80" s="1729">
        <v>80</v>
      </c>
      <c r="C80" s="1728" t="s">
        <v>310</v>
      </c>
      <c r="D80" s="1727" t="s">
        <v>783</v>
      </c>
    </row>
    <row r="81" spans="2:4" x14ac:dyDescent="0.2">
      <c r="B81" s="1729">
        <v>81</v>
      </c>
      <c r="C81" s="1728" t="s">
        <v>309</v>
      </c>
      <c r="D81" s="1727" t="s">
        <v>784</v>
      </c>
    </row>
    <row r="82" spans="2:4" x14ac:dyDescent="0.2">
      <c r="B82" s="1729">
        <v>82</v>
      </c>
      <c r="C82" s="1728" t="s">
        <v>308</v>
      </c>
      <c r="D82" s="1727" t="s">
        <v>785</v>
      </c>
    </row>
    <row r="83" spans="2:4" x14ac:dyDescent="0.2">
      <c r="B83" s="1729">
        <v>83</v>
      </c>
      <c r="C83" s="1728" t="s">
        <v>291</v>
      </c>
      <c r="D83" s="1727" t="s">
        <v>786</v>
      </c>
    </row>
    <row r="84" spans="2:4" x14ac:dyDescent="0.2">
      <c r="B84" s="1729">
        <v>84</v>
      </c>
      <c r="C84" s="1728" t="s">
        <v>590</v>
      </c>
      <c r="D84" s="1727" t="s">
        <v>787</v>
      </c>
    </row>
    <row r="85" spans="2:4" x14ac:dyDescent="0.2">
      <c r="B85" s="1729">
        <v>85</v>
      </c>
      <c r="C85" s="1728" t="s">
        <v>589</v>
      </c>
      <c r="D85" s="1727" t="s">
        <v>788</v>
      </c>
    </row>
    <row r="86" spans="2:4" x14ac:dyDescent="0.2">
      <c r="B86" s="1729">
        <v>86</v>
      </c>
      <c r="C86" s="1728" t="s">
        <v>588</v>
      </c>
      <c r="D86" s="1727" t="s">
        <v>789</v>
      </c>
    </row>
    <row r="87" spans="2:4" x14ac:dyDescent="0.2">
      <c r="B87" s="1729">
        <v>87</v>
      </c>
      <c r="C87" s="1728" t="s">
        <v>305</v>
      </c>
      <c r="D87" s="1727" t="s">
        <v>790</v>
      </c>
    </row>
    <row r="88" spans="2:4" x14ac:dyDescent="0.2">
      <c r="B88" s="1729">
        <v>88</v>
      </c>
      <c r="C88" s="1728" t="s">
        <v>676</v>
      </c>
      <c r="D88" s="1727" t="s">
        <v>791</v>
      </c>
    </row>
    <row r="89" spans="2:4" x14ac:dyDescent="0.2">
      <c r="B89" s="1729">
        <v>89</v>
      </c>
      <c r="C89" s="1728" t="s">
        <v>304</v>
      </c>
      <c r="D89" s="1727" t="s">
        <v>792</v>
      </c>
    </row>
    <row r="90" spans="2:4" x14ac:dyDescent="0.2">
      <c r="B90" s="1729">
        <v>90</v>
      </c>
      <c r="C90" s="1728" t="s">
        <v>303</v>
      </c>
      <c r="D90" s="1727" t="s">
        <v>793</v>
      </c>
    </row>
    <row r="91" spans="2:4" x14ac:dyDescent="0.2">
      <c r="B91" s="1729">
        <v>91</v>
      </c>
      <c r="C91" s="1728" t="s">
        <v>587</v>
      </c>
      <c r="D91" s="1727" t="s">
        <v>794</v>
      </c>
    </row>
    <row r="92" spans="2:4" x14ac:dyDescent="0.2">
      <c r="B92" s="1729">
        <v>92</v>
      </c>
      <c r="C92" s="1728" t="s">
        <v>114</v>
      </c>
      <c r="D92" s="1727" t="s">
        <v>781</v>
      </c>
    </row>
    <row r="93" spans="2:4" x14ac:dyDescent="0.2">
      <c r="B93" s="1729">
        <v>93</v>
      </c>
      <c r="C93" s="1728" t="s">
        <v>301</v>
      </c>
      <c r="D93" s="1727" t="s">
        <v>795</v>
      </c>
    </row>
    <row r="94" spans="2:4" x14ac:dyDescent="0.2">
      <c r="B94" s="1729">
        <v>94</v>
      </c>
      <c r="C94" s="1728" t="s">
        <v>706</v>
      </c>
      <c r="D94" s="1727" t="s">
        <v>796</v>
      </c>
    </row>
    <row r="95" spans="2:4" x14ac:dyDescent="0.2">
      <c r="B95" s="1729">
        <v>95</v>
      </c>
      <c r="C95" s="1728" t="s">
        <v>707</v>
      </c>
      <c r="D95" s="1727" t="s">
        <v>797</v>
      </c>
    </row>
    <row r="96" spans="2:4" x14ac:dyDescent="0.2">
      <c r="B96" s="1729">
        <v>96</v>
      </c>
      <c r="C96" s="1728" t="s">
        <v>298</v>
      </c>
      <c r="D96" s="1727" t="s">
        <v>798</v>
      </c>
    </row>
    <row r="97" spans="2:5" x14ac:dyDescent="0.2">
      <c r="B97" s="1729">
        <v>97</v>
      </c>
      <c r="C97" s="1728" t="s">
        <v>297</v>
      </c>
      <c r="D97" s="1727" t="s">
        <v>799</v>
      </c>
    </row>
    <row r="98" spans="2:5" x14ac:dyDescent="0.2">
      <c r="B98" s="1729">
        <v>98</v>
      </c>
      <c r="C98" s="1728" t="s">
        <v>296</v>
      </c>
      <c r="D98" s="1727" t="s">
        <v>782</v>
      </c>
    </row>
    <row r="99" spans="2:5" x14ac:dyDescent="0.2">
      <c r="B99" s="1729">
        <v>99</v>
      </c>
      <c r="C99" s="1728" t="s">
        <v>295</v>
      </c>
      <c r="D99" s="1727" t="s">
        <v>800</v>
      </c>
    </row>
    <row r="100" spans="2:5" x14ac:dyDescent="0.2">
      <c r="B100" s="1729">
        <v>100</v>
      </c>
      <c r="C100" s="1728" t="s">
        <v>294</v>
      </c>
      <c r="D100" s="1727" t="s">
        <v>801</v>
      </c>
    </row>
    <row r="101" spans="2:5" x14ac:dyDescent="0.2">
      <c r="B101" s="1729">
        <v>101</v>
      </c>
      <c r="C101" s="1728" t="s">
        <v>293</v>
      </c>
      <c r="D101" s="1727" t="s">
        <v>802</v>
      </c>
    </row>
    <row r="102" spans="2:5" x14ac:dyDescent="0.2">
      <c r="B102" s="1729">
        <v>102</v>
      </c>
      <c r="C102" s="1728" t="s">
        <v>586</v>
      </c>
      <c r="D102" s="1727" t="s">
        <v>803</v>
      </c>
    </row>
    <row r="103" spans="2:5" x14ac:dyDescent="0.2">
      <c r="B103" s="1729">
        <v>103</v>
      </c>
      <c r="C103" s="1728" t="s">
        <v>585</v>
      </c>
      <c r="D103" s="1727" t="s">
        <v>804</v>
      </c>
    </row>
    <row r="104" spans="2:5" x14ac:dyDescent="0.2">
      <c r="B104" s="1729">
        <v>104</v>
      </c>
      <c r="C104" s="1728" t="s">
        <v>414</v>
      </c>
      <c r="D104" s="1727" t="s">
        <v>805</v>
      </c>
    </row>
    <row r="105" spans="2:5" x14ac:dyDescent="0.2">
      <c r="B105" s="1729">
        <v>105</v>
      </c>
      <c r="C105" s="1728" t="s">
        <v>331</v>
      </c>
      <c r="D105" s="1727" t="s">
        <v>806</v>
      </c>
    </row>
    <row r="106" spans="2:5" x14ac:dyDescent="0.2">
      <c r="B106" s="1729">
        <v>106</v>
      </c>
      <c r="C106" s="1728" t="s">
        <v>584</v>
      </c>
      <c r="D106" s="1727" t="s">
        <v>807</v>
      </c>
    </row>
    <row r="107" spans="2:5" x14ac:dyDescent="0.2">
      <c r="B107" s="1729">
        <v>107</v>
      </c>
      <c r="C107" s="1728" t="s">
        <v>583</v>
      </c>
      <c r="D107" s="1727" t="s">
        <v>808</v>
      </c>
    </row>
    <row r="108" spans="2:5" x14ac:dyDescent="0.2">
      <c r="B108" s="1729">
        <v>108</v>
      </c>
      <c r="C108" s="1728" t="s">
        <v>582</v>
      </c>
      <c r="D108" s="1727" t="s">
        <v>809</v>
      </c>
    </row>
    <row r="109" spans="2:5" x14ac:dyDescent="0.2">
      <c r="B109" s="1729">
        <v>109</v>
      </c>
      <c r="C109" s="1728" t="s">
        <v>581</v>
      </c>
      <c r="D109" s="1727" t="s">
        <v>810</v>
      </c>
    </row>
    <row r="110" spans="2:5" x14ac:dyDescent="0.2">
      <c r="B110" s="1729">
        <v>110</v>
      </c>
      <c r="C110" s="1728" t="s">
        <v>709</v>
      </c>
      <c r="D110" s="1727" t="s">
        <v>811</v>
      </c>
      <c r="E110" s="1730" t="s">
        <v>708</v>
      </c>
    </row>
    <row r="111" spans="2:5" x14ac:dyDescent="0.2">
      <c r="B111" s="1729">
        <v>111</v>
      </c>
      <c r="C111" s="1728" t="s">
        <v>580</v>
      </c>
      <c r="D111" s="1727" t="s">
        <v>812</v>
      </c>
      <c r="E111" s="1727" t="s">
        <v>1257</v>
      </c>
    </row>
    <row r="112" spans="2:5" x14ac:dyDescent="0.2">
      <c r="B112" s="1729">
        <v>112</v>
      </c>
      <c r="C112" s="1728" t="s">
        <v>579</v>
      </c>
      <c r="D112" s="1727" t="s">
        <v>813</v>
      </c>
    </row>
    <row r="113" spans="2:18" x14ac:dyDescent="0.2">
      <c r="B113" s="1729">
        <v>113</v>
      </c>
      <c r="C113" s="1728" t="s">
        <v>578</v>
      </c>
      <c r="D113" s="1727" t="s">
        <v>814</v>
      </c>
      <c r="E113" s="2748" t="s">
        <v>710</v>
      </c>
      <c r="F113" s="2748"/>
      <c r="G113" s="2748"/>
      <c r="H113" s="2748"/>
      <c r="I113" s="2748"/>
      <c r="J113" s="2748"/>
      <c r="K113" s="2748"/>
      <c r="L113" s="2748"/>
      <c r="M113" s="2748"/>
      <c r="N113" s="2748"/>
      <c r="O113" s="2748"/>
      <c r="P113" s="2748"/>
      <c r="Q113" s="2748"/>
      <c r="R113" s="2748"/>
    </row>
    <row r="114" spans="2:18" x14ac:dyDescent="0.2">
      <c r="B114" s="1729">
        <v>114</v>
      </c>
      <c r="C114" s="1728" t="s">
        <v>577</v>
      </c>
      <c r="D114" s="1727" t="s">
        <v>815</v>
      </c>
      <c r="E114" s="1733" t="s">
        <v>1291</v>
      </c>
    </row>
    <row r="115" spans="2:18" x14ac:dyDescent="0.2">
      <c r="B115" s="1729">
        <v>115</v>
      </c>
      <c r="C115" s="1728" t="s">
        <v>576</v>
      </c>
      <c r="D115" s="1727" t="s">
        <v>816</v>
      </c>
    </row>
    <row r="116" spans="2:18" x14ac:dyDescent="0.2">
      <c r="B116" s="1729">
        <v>116</v>
      </c>
      <c r="C116" s="1728" t="s">
        <v>575</v>
      </c>
      <c r="D116" s="1727" t="s">
        <v>817</v>
      </c>
    </row>
    <row r="117" spans="2:18" x14ac:dyDescent="0.2">
      <c r="B117" s="1729">
        <v>117</v>
      </c>
      <c r="C117" s="1728" t="s">
        <v>574</v>
      </c>
      <c r="D117" s="1727" t="s">
        <v>818</v>
      </c>
    </row>
    <row r="118" spans="2:18" x14ac:dyDescent="0.2">
      <c r="B118" s="1729">
        <v>118</v>
      </c>
      <c r="C118" s="1728" t="s">
        <v>573</v>
      </c>
      <c r="D118" s="1727" t="s">
        <v>819</v>
      </c>
    </row>
    <row r="119" spans="2:18" x14ac:dyDescent="0.2">
      <c r="B119" s="1729">
        <v>119</v>
      </c>
      <c r="C119" s="1728" t="s">
        <v>572</v>
      </c>
      <c r="D119" s="1727" t="s">
        <v>820</v>
      </c>
    </row>
    <row r="120" spans="2:18" x14ac:dyDescent="0.2">
      <c r="B120" s="1729">
        <v>120</v>
      </c>
      <c r="C120" s="1728" t="s">
        <v>571</v>
      </c>
      <c r="D120" s="1727" t="s">
        <v>821</v>
      </c>
    </row>
    <row r="121" spans="2:18" x14ac:dyDescent="0.2">
      <c r="B121" s="1729">
        <v>121</v>
      </c>
      <c r="C121" s="1728" t="s">
        <v>570</v>
      </c>
      <c r="D121" s="1727" t="s">
        <v>822</v>
      </c>
    </row>
    <row r="122" spans="2:18" x14ac:dyDescent="0.2">
      <c r="B122" s="1729">
        <v>122</v>
      </c>
      <c r="C122" s="1731" t="s">
        <v>569</v>
      </c>
      <c r="D122" s="1727" t="s">
        <v>823</v>
      </c>
    </row>
    <row r="123" spans="2:18" x14ac:dyDescent="0.2">
      <c r="B123" s="1729">
        <v>123</v>
      </c>
      <c r="C123" s="1728" t="s">
        <v>543</v>
      </c>
      <c r="D123" s="1727" t="s">
        <v>824</v>
      </c>
    </row>
    <row r="124" spans="2:18" x14ac:dyDescent="0.2">
      <c r="B124" s="1729">
        <v>124</v>
      </c>
      <c r="C124" s="1728" t="s">
        <v>347</v>
      </c>
      <c r="D124" s="1727" t="s">
        <v>825</v>
      </c>
    </row>
    <row r="125" spans="2:18" x14ac:dyDescent="0.2">
      <c r="B125" s="1729">
        <v>125</v>
      </c>
      <c r="C125" s="1728" t="s">
        <v>568</v>
      </c>
      <c r="D125" s="1727" t="s">
        <v>826</v>
      </c>
    </row>
    <row r="126" spans="2:18" x14ac:dyDescent="0.2">
      <c r="B126" s="1729">
        <v>126</v>
      </c>
      <c r="C126" s="1728" t="s">
        <v>567</v>
      </c>
      <c r="D126" s="1727" t="s">
        <v>827</v>
      </c>
    </row>
    <row r="127" spans="2:18" x14ac:dyDescent="0.2">
      <c r="B127" s="1729">
        <v>127</v>
      </c>
      <c r="C127" s="1728" t="s">
        <v>566</v>
      </c>
      <c r="D127" s="1727" t="s">
        <v>828</v>
      </c>
    </row>
    <row r="128" spans="2:18" x14ac:dyDescent="0.2">
      <c r="B128" s="1729">
        <v>128</v>
      </c>
      <c r="C128" s="1728" t="s">
        <v>565</v>
      </c>
      <c r="D128" s="1727" t="s">
        <v>829</v>
      </c>
    </row>
    <row r="129" spans="2:4" x14ac:dyDescent="0.2">
      <c r="B129" s="1729">
        <v>129</v>
      </c>
      <c r="C129" s="1728" t="s">
        <v>564</v>
      </c>
      <c r="D129" s="1727" t="s">
        <v>830</v>
      </c>
    </row>
    <row r="130" spans="2:4" x14ac:dyDescent="0.2">
      <c r="B130" s="1729">
        <v>130</v>
      </c>
      <c r="C130" s="1728" t="s">
        <v>563</v>
      </c>
      <c r="D130" s="1727" t="s">
        <v>831</v>
      </c>
    </row>
    <row r="131" spans="2:4" x14ac:dyDescent="0.2">
      <c r="B131" s="1729">
        <v>131</v>
      </c>
      <c r="C131" s="1728" t="s">
        <v>562</v>
      </c>
      <c r="D131" s="1727" t="s">
        <v>832</v>
      </c>
    </row>
    <row r="132" spans="2:4" x14ac:dyDescent="0.2">
      <c r="B132" s="1729">
        <v>132</v>
      </c>
      <c r="C132" s="1728" t="s">
        <v>561</v>
      </c>
      <c r="D132" s="1727" t="s">
        <v>833</v>
      </c>
    </row>
    <row r="133" spans="2:4" x14ac:dyDescent="0.2">
      <c r="B133" s="1729">
        <v>133</v>
      </c>
      <c r="C133" s="1728" t="s">
        <v>39</v>
      </c>
      <c r="D133" s="1727" t="s">
        <v>834</v>
      </c>
    </row>
    <row r="134" spans="2:4" x14ac:dyDescent="0.2">
      <c r="B134" s="1729">
        <v>134</v>
      </c>
      <c r="C134" s="1728" t="s">
        <v>345</v>
      </c>
      <c r="D134" s="1727" t="s">
        <v>835</v>
      </c>
    </row>
    <row r="135" spans="2:4" x14ac:dyDescent="0.2">
      <c r="B135" s="1729">
        <v>135</v>
      </c>
      <c r="C135" s="1728" t="s">
        <v>535</v>
      </c>
      <c r="D135" s="1727" t="s">
        <v>836</v>
      </c>
    </row>
    <row r="136" spans="2:4" x14ac:dyDescent="0.2">
      <c r="B136" s="1729">
        <v>136</v>
      </c>
      <c r="C136" s="1728" t="s">
        <v>560</v>
      </c>
      <c r="D136" s="1727" t="s">
        <v>837</v>
      </c>
    </row>
    <row r="137" spans="2:4" x14ac:dyDescent="0.2">
      <c r="B137" s="1729">
        <v>137</v>
      </c>
      <c r="C137" s="1728" t="s">
        <v>353</v>
      </c>
      <c r="D137" s="1727" t="s">
        <v>838</v>
      </c>
    </row>
    <row r="138" spans="2:4" x14ac:dyDescent="0.2">
      <c r="B138" s="1729">
        <v>138</v>
      </c>
      <c r="C138" s="1728" t="s">
        <v>352</v>
      </c>
      <c r="D138" s="1727" t="s">
        <v>839</v>
      </c>
    </row>
    <row r="139" spans="2:4" x14ac:dyDescent="0.2">
      <c r="B139" s="1729">
        <v>139</v>
      </c>
      <c r="C139" s="1728" t="s">
        <v>532</v>
      </c>
      <c r="D139" s="1727" t="s">
        <v>840</v>
      </c>
    </row>
    <row r="140" spans="2:4" x14ac:dyDescent="0.2">
      <c r="B140" s="1729">
        <v>140</v>
      </c>
      <c r="C140" s="1728" t="s">
        <v>559</v>
      </c>
      <c r="D140" s="1727" t="s">
        <v>841</v>
      </c>
    </row>
    <row r="141" spans="2:4" x14ac:dyDescent="0.2">
      <c r="B141" s="1729">
        <v>141</v>
      </c>
      <c r="C141" s="1728" t="s">
        <v>459</v>
      </c>
      <c r="D141" s="1727" t="s">
        <v>458</v>
      </c>
    </row>
    <row r="142" spans="2:4" x14ac:dyDescent="0.2">
      <c r="B142" s="1729">
        <v>142</v>
      </c>
      <c r="C142" s="1728" t="s">
        <v>558</v>
      </c>
      <c r="D142" s="1727" t="s">
        <v>842</v>
      </c>
    </row>
    <row r="143" spans="2:4" x14ac:dyDescent="0.2">
      <c r="B143" s="1729">
        <v>143</v>
      </c>
      <c r="C143" s="1728" t="s">
        <v>96</v>
      </c>
      <c r="D143" s="1727" t="s">
        <v>843</v>
      </c>
    </row>
    <row r="144" spans="2:4" x14ac:dyDescent="0.2">
      <c r="B144" s="1729">
        <v>144</v>
      </c>
      <c r="C144" s="1728" t="s">
        <v>97</v>
      </c>
      <c r="D144" s="1727" t="s">
        <v>844</v>
      </c>
    </row>
    <row r="145" spans="2:5" x14ac:dyDescent="0.2">
      <c r="B145" s="1729">
        <v>145</v>
      </c>
      <c r="C145" s="1728" t="s">
        <v>557</v>
      </c>
      <c r="D145" s="1727" t="s">
        <v>845</v>
      </c>
    </row>
    <row r="146" spans="2:5" x14ac:dyDescent="0.2">
      <c r="B146" s="1729">
        <v>146</v>
      </c>
      <c r="C146" s="1728" t="s">
        <v>98</v>
      </c>
      <c r="D146" s="1727" t="s">
        <v>846</v>
      </c>
    </row>
    <row r="147" spans="2:5" x14ac:dyDescent="0.2">
      <c r="B147" s="1729">
        <v>147</v>
      </c>
      <c r="C147" s="1728" t="s">
        <v>99</v>
      </c>
      <c r="D147" s="1727" t="s">
        <v>847</v>
      </c>
    </row>
    <row r="148" spans="2:5" x14ac:dyDescent="0.2">
      <c r="B148" s="1729">
        <v>148</v>
      </c>
      <c r="C148" s="1728" t="s">
        <v>100</v>
      </c>
      <c r="D148" s="1727" t="s">
        <v>848</v>
      </c>
    </row>
    <row r="149" spans="2:5" x14ac:dyDescent="0.2">
      <c r="B149" s="1729">
        <v>149</v>
      </c>
      <c r="C149" s="1728" t="s">
        <v>101</v>
      </c>
      <c r="D149" s="1727" t="s">
        <v>849</v>
      </c>
    </row>
    <row r="150" spans="2:5" x14ac:dyDescent="0.2">
      <c r="B150" s="1729">
        <v>150</v>
      </c>
      <c r="C150" s="1728" t="s">
        <v>102</v>
      </c>
      <c r="D150" s="1727" t="s">
        <v>850</v>
      </c>
    </row>
    <row r="151" spans="2:5" x14ac:dyDescent="0.2">
      <c r="B151" s="1729">
        <v>151</v>
      </c>
      <c r="C151" s="1728" t="s">
        <v>103</v>
      </c>
      <c r="D151" s="1727" t="s">
        <v>851</v>
      </c>
    </row>
    <row r="152" spans="2:5" x14ac:dyDescent="0.2">
      <c r="B152" s="1729">
        <v>152</v>
      </c>
      <c r="C152" s="1728" t="s">
        <v>104</v>
      </c>
      <c r="D152" s="1727" t="s">
        <v>852</v>
      </c>
    </row>
    <row r="153" spans="2:5" x14ac:dyDescent="0.2">
      <c r="B153" s="1729">
        <v>153</v>
      </c>
      <c r="C153" s="1728" t="s">
        <v>556</v>
      </c>
      <c r="D153" s="1727" t="s">
        <v>853</v>
      </c>
    </row>
    <row r="154" spans="2:5" x14ac:dyDescent="0.2">
      <c r="B154" s="1729">
        <v>154</v>
      </c>
      <c r="C154" s="1728" t="s">
        <v>555</v>
      </c>
      <c r="D154" s="1727" t="s">
        <v>854</v>
      </c>
    </row>
    <row r="155" spans="2:5" x14ac:dyDescent="0.2">
      <c r="B155" s="1729">
        <v>155</v>
      </c>
      <c r="C155" s="1728" t="s">
        <v>554</v>
      </c>
      <c r="D155" s="1727" t="s">
        <v>855</v>
      </c>
    </row>
    <row r="156" spans="2:5" x14ac:dyDescent="0.2">
      <c r="B156" s="1729">
        <v>156</v>
      </c>
      <c r="C156" s="1728" t="s">
        <v>553</v>
      </c>
      <c r="D156" s="1727" t="s">
        <v>856</v>
      </c>
    </row>
    <row r="157" spans="2:5" x14ac:dyDescent="0.2">
      <c r="B157" s="1729">
        <v>157</v>
      </c>
      <c r="C157" s="1728" t="s">
        <v>552</v>
      </c>
      <c r="D157" s="1727" t="s">
        <v>857</v>
      </c>
    </row>
    <row r="158" spans="2:5" x14ac:dyDescent="0.2">
      <c r="B158" s="1729">
        <v>158</v>
      </c>
      <c r="C158" s="1728" t="s">
        <v>551</v>
      </c>
      <c r="D158" s="1727" t="s">
        <v>550</v>
      </c>
      <c r="E158" s="1727" t="s">
        <v>716</v>
      </c>
    </row>
    <row r="159" spans="2:5" x14ac:dyDescent="0.2">
      <c r="B159" s="1729">
        <v>159</v>
      </c>
      <c r="C159" s="1728" t="s">
        <v>549</v>
      </c>
      <c r="D159" s="1727" t="s">
        <v>858</v>
      </c>
      <c r="E159" s="1727" t="s">
        <v>1258</v>
      </c>
    </row>
    <row r="160" spans="2:5" x14ac:dyDescent="0.2">
      <c r="B160" s="1729">
        <v>160</v>
      </c>
      <c r="C160" s="1728" t="s">
        <v>375</v>
      </c>
      <c r="D160" s="1727" t="s">
        <v>859</v>
      </c>
    </row>
    <row r="161" spans="2:5" x14ac:dyDescent="0.2">
      <c r="B161" s="1729">
        <v>161</v>
      </c>
      <c r="C161" s="1728" t="s">
        <v>548</v>
      </c>
      <c r="D161" s="1727" t="s">
        <v>860</v>
      </c>
      <c r="E161" s="1727" t="s">
        <v>547</v>
      </c>
    </row>
    <row r="162" spans="2:5" x14ac:dyDescent="0.2">
      <c r="B162" s="1729">
        <v>162</v>
      </c>
      <c r="C162" s="1728" t="s">
        <v>546</v>
      </c>
      <c r="D162" s="1727" t="s">
        <v>861</v>
      </c>
      <c r="E162" s="1727" t="s">
        <v>1259</v>
      </c>
    </row>
    <row r="163" spans="2:5" x14ac:dyDescent="0.2">
      <c r="B163" s="1729">
        <v>163</v>
      </c>
      <c r="C163" s="1728" t="s">
        <v>545</v>
      </c>
      <c r="D163" s="1727" t="s">
        <v>862</v>
      </c>
    </row>
    <row r="164" spans="2:5" x14ac:dyDescent="0.2">
      <c r="B164" s="1729">
        <v>164</v>
      </c>
      <c r="C164" s="1728" t="s">
        <v>38</v>
      </c>
      <c r="D164" s="1727" t="s">
        <v>768</v>
      </c>
    </row>
    <row r="165" spans="2:5" x14ac:dyDescent="0.2">
      <c r="B165" s="1729">
        <v>165</v>
      </c>
      <c r="C165" s="1731" t="s">
        <v>544</v>
      </c>
      <c r="D165" s="1727" t="s">
        <v>863</v>
      </c>
    </row>
    <row r="166" spans="2:5" x14ac:dyDescent="0.2">
      <c r="B166" s="1729">
        <v>166</v>
      </c>
      <c r="C166" s="1728" t="s">
        <v>543</v>
      </c>
      <c r="D166" s="1727" t="s">
        <v>824</v>
      </c>
    </row>
    <row r="167" spans="2:5" x14ac:dyDescent="0.2">
      <c r="B167" s="1729">
        <v>167</v>
      </c>
      <c r="C167" s="1728" t="s">
        <v>347</v>
      </c>
      <c r="D167" s="1727" t="s">
        <v>864</v>
      </c>
    </row>
    <row r="168" spans="2:5" x14ac:dyDescent="0.2">
      <c r="B168" s="1729">
        <v>168</v>
      </c>
      <c r="C168" s="1728" t="s">
        <v>542</v>
      </c>
      <c r="D168" s="1727" t="s">
        <v>865</v>
      </c>
    </row>
    <row r="169" spans="2:5" x14ac:dyDescent="0.2">
      <c r="B169" s="1729">
        <v>169</v>
      </c>
      <c r="C169" s="1728" t="s">
        <v>541</v>
      </c>
      <c r="D169" s="1727" t="s">
        <v>866</v>
      </c>
    </row>
    <row r="170" spans="2:5" x14ac:dyDescent="0.2">
      <c r="B170" s="1729">
        <v>170</v>
      </c>
      <c r="C170" s="1728" t="s">
        <v>540</v>
      </c>
      <c r="D170" s="1727" t="s">
        <v>867</v>
      </c>
    </row>
    <row r="171" spans="2:5" x14ac:dyDescent="0.2">
      <c r="B171" s="1729">
        <v>171</v>
      </c>
      <c r="C171" s="1728" t="s">
        <v>539</v>
      </c>
      <c r="D171" s="1727" t="s">
        <v>868</v>
      </c>
    </row>
    <row r="172" spans="2:5" x14ac:dyDescent="0.2">
      <c r="B172" s="1729">
        <v>172</v>
      </c>
      <c r="C172" s="1728" t="s">
        <v>538</v>
      </c>
      <c r="D172" s="1727" t="s">
        <v>869</v>
      </c>
    </row>
    <row r="173" spans="2:5" x14ac:dyDescent="0.2">
      <c r="B173" s="1729">
        <v>173</v>
      </c>
      <c r="C173" s="1728" t="s">
        <v>537</v>
      </c>
      <c r="D173" s="1727" t="s">
        <v>870</v>
      </c>
    </row>
    <row r="174" spans="2:5" x14ac:dyDescent="0.2">
      <c r="B174" s="1729">
        <v>174</v>
      </c>
      <c r="C174" s="1728" t="s">
        <v>536</v>
      </c>
      <c r="D174" s="1727" t="s">
        <v>871</v>
      </c>
    </row>
    <row r="175" spans="2:5" x14ac:dyDescent="0.2">
      <c r="B175" s="1729">
        <v>175</v>
      </c>
      <c r="C175" s="1728" t="s">
        <v>39</v>
      </c>
      <c r="D175" s="1727" t="s">
        <v>834</v>
      </c>
    </row>
    <row r="176" spans="2:5" x14ac:dyDescent="0.2">
      <c r="B176" s="1729">
        <v>176</v>
      </c>
      <c r="C176" s="1728" t="s">
        <v>345</v>
      </c>
      <c r="D176" s="1727" t="s">
        <v>835</v>
      </c>
    </row>
    <row r="177" spans="2:5" x14ac:dyDescent="0.2">
      <c r="B177" s="1729">
        <v>177</v>
      </c>
      <c r="C177" s="1728" t="s">
        <v>535</v>
      </c>
      <c r="D177" s="1727" t="s">
        <v>872</v>
      </c>
    </row>
    <row r="178" spans="2:5" x14ac:dyDescent="0.2">
      <c r="B178" s="1729">
        <v>178</v>
      </c>
      <c r="C178" s="1728" t="s">
        <v>534</v>
      </c>
      <c r="D178" s="1727" t="s">
        <v>873</v>
      </c>
    </row>
    <row r="179" spans="2:5" x14ac:dyDescent="0.2">
      <c r="B179" s="1729">
        <v>179</v>
      </c>
      <c r="C179" s="1728" t="s">
        <v>353</v>
      </c>
      <c r="D179" s="1727" t="s">
        <v>838</v>
      </c>
    </row>
    <row r="180" spans="2:5" x14ac:dyDescent="0.2">
      <c r="B180" s="1729">
        <v>180</v>
      </c>
      <c r="C180" s="1728" t="s">
        <v>352</v>
      </c>
      <c r="D180" s="1727" t="s">
        <v>839</v>
      </c>
      <c r="E180" s="1727" t="s">
        <v>533</v>
      </c>
    </row>
    <row r="181" spans="2:5" x14ac:dyDescent="0.2">
      <c r="B181" s="1729">
        <v>181</v>
      </c>
      <c r="C181" s="1728" t="s">
        <v>532</v>
      </c>
      <c r="D181" s="1727" t="s">
        <v>840</v>
      </c>
      <c r="E181" s="1727" t="s">
        <v>1260</v>
      </c>
    </row>
    <row r="182" spans="2:5" x14ac:dyDescent="0.2">
      <c r="B182" s="1729">
        <v>182</v>
      </c>
      <c r="C182" s="1728" t="s">
        <v>349</v>
      </c>
      <c r="D182" s="1727" t="s">
        <v>874</v>
      </c>
    </row>
    <row r="183" spans="2:5" x14ac:dyDescent="0.2">
      <c r="B183" s="1729">
        <v>183</v>
      </c>
      <c r="C183" s="1728" t="s">
        <v>38</v>
      </c>
      <c r="D183" s="1727" t="s">
        <v>768</v>
      </c>
      <c r="E183" s="1727" t="s">
        <v>724</v>
      </c>
    </row>
    <row r="184" spans="2:5" x14ac:dyDescent="0.2">
      <c r="B184" s="1729">
        <v>184</v>
      </c>
      <c r="C184" s="1731" t="s">
        <v>531</v>
      </c>
      <c r="D184" s="1727" t="s">
        <v>875</v>
      </c>
      <c r="E184" s="1727" t="s">
        <v>1261</v>
      </c>
    </row>
    <row r="185" spans="2:5" x14ac:dyDescent="0.2">
      <c r="B185" s="1729">
        <v>185</v>
      </c>
      <c r="C185" s="1728" t="s">
        <v>530</v>
      </c>
      <c r="D185" s="1727" t="s">
        <v>876</v>
      </c>
    </row>
    <row r="186" spans="2:5" x14ac:dyDescent="0.2">
      <c r="B186" s="1729">
        <v>186</v>
      </c>
      <c r="C186" s="1728" t="s">
        <v>529</v>
      </c>
      <c r="D186" s="1727" t="s">
        <v>877</v>
      </c>
    </row>
    <row r="187" spans="2:5" x14ac:dyDescent="0.2">
      <c r="B187" s="1729">
        <v>187</v>
      </c>
      <c r="C187" s="1728" t="s">
        <v>528</v>
      </c>
      <c r="D187" s="1727" t="s">
        <v>878</v>
      </c>
    </row>
    <row r="188" spans="2:5" x14ac:dyDescent="0.2">
      <c r="B188" s="1729">
        <v>188</v>
      </c>
      <c r="C188" s="1728" t="s">
        <v>486</v>
      </c>
      <c r="D188" s="1727" t="s">
        <v>879</v>
      </c>
    </row>
    <row r="189" spans="2:5" x14ac:dyDescent="0.2">
      <c r="B189" s="1729">
        <v>189</v>
      </c>
      <c r="C189" s="1728" t="s">
        <v>485</v>
      </c>
      <c r="D189" s="1727" t="s">
        <v>880</v>
      </c>
    </row>
    <row r="190" spans="2:5" x14ac:dyDescent="0.2">
      <c r="B190" s="1729">
        <v>190</v>
      </c>
      <c r="C190" s="1728" t="s">
        <v>526</v>
      </c>
      <c r="D190" s="1727" t="s">
        <v>881</v>
      </c>
    </row>
    <row r="191" spans="2:5" x14ac:dyDescent="0.2">
      <c r="B191" s="1729">
        <v>191</v>
      </c>
      <c r="C191" s="1728" t="s">
        <v>482</v>
      </c>
      <c r="D191" s="1727" t="s">
        <v>882</v>
      </c>
    </row>
    <row r="192" spans="2:5" x14ac:dyDescent="0.2">
      <c r="B192" s="1729">
        <v>192</v>
      </c>
      <c r="C192" s="1728" t="s">
        <v>694</v>
      </c>
      <c r="D192" s="1727" t="s">
        <v>883</v>
      </c>
    </row>
    <row r="193" spans="2:4" x14ac:dyDescent="0.2">
      <c r="B193" s="1729">
        <v>193</v>
      </c>
      <c r="C193" s="1728" t="s">
        <v>527</v>
      </c>
      <c r="D193" s="1727" t="s">
        <v>884</v>
      </c>
    </row>
    <row r="194" spans="2:4" x14ac:dyDescent="0.2">
      <c r="B194" s="1729">
        <v>194</v>
      </c>
      <c r="C194" s="1728" t="s">
        <v>39</v>
      </c>
      <c r="D194" s="1727" t="s">
        <v>834</v>
      </c>
    </row>
    <row r="195" spans="2:4" x14ac:dyDescent="0.2">
      <c r="B195" s="1729">
        <v>195</v>
      </c>
      <c r="C195" s="1728" t="s">
        <v>516</v>
      </c>
      <c r="D195" s="1727" t="s">
        <v>885</v>
      </c>
    </row>
    <row r="196" spans="2:4" x14ac:dyDescent="0.2">
      <c r="B196" s="1729">
        <v>196</v>
      </c>
      <c r="C196" s="1728" t="s">
        <v>486</v>
      </c>
      <c r="D196" s="1727" t="s">
        <v>879</v>
      </c>
    </row>
    <row r="197" spans="2:4" x14ac:dyDescent="0.2">
      <c r="B197" s="1729">
        <v>197</v>
      </c>
      <c r="C197" s="1728" t="s">
        <v>485</v>
      </c>
      <c r="D197" s="1727" t="s">
        <v>880</v>
      </c>
    </row>
    <row r="198" spans="2:4" x14ac:dyDescent="0.2">
      <c r="B198" s="1729">
        <v>198</v>
      </c>
      <c r="C198" s="1728" t="s">
        <v>526</v>
      </c>
      <c r="D198" s="1727" t="s">
        <v>881</v>
      </c>
    </row>
    <row r="199" spans="2:4" x14ac:dyDescent="0.2">
      <c r="B199" s="1729">
        <v>199</v>
      </c>
      <c r="C199" s="1728" t="s">
        <v>482</v>
      </c>
      <c r="D199" s="1727" t="s">
        <v>882</v>
      </c>
    </row>
    <row r="200" spans="2:4" x14ac:dyDescent="0.2">
      <c r="B200" s="1729">
        <v>200</v>
      </c>
      <c r="C200" s="1728" t="s">
        <v>525</v>
      </c>
      <c r="D200" s="1727" t="s">
        <v>886</v>
      </c>
    </row>
    <row r="201" spans="2:4" x14ac:dyDescent="0.2">
      <c r="B201" s="1729">
        <v>201</v>
      </c>
      <c r="C201" s="1728" t="s">
        <v>515</v>
      </c>
      <c r="D201" s="1727" t="s">
        <v>887</v>
      </c>
    </row>
    <row r="202" spans="2:4" x14ac:dyDescent="0.2">
      <c r="B202" s="1729">
        <v>202</v>
      </c>
      <c r="C202" s="1728" t="s">
        <v>419</v>
      </c>
      <c r="D202" s="1727" t="s">
        <v>419</v>
      </c>
    </row>
    <row r="203" spans="2:4" x14ac:dyDescent="0.2">
      <c r="B203" s="1729">
        <v>203</v>
      </c>
      <c r="C203" s="1728" t="s">
        <v>420</v>
      </c>
      <c r="D203" s="1727" t="s">
        <v>888</v>
      </c>
    </row>
    <row r="204" spans="2:4" x14ac:dyDescent="0.2">
      <c r="B204" s="1729">
        <v>204</v>
      </c>
      <c r="C204" s="1728" t="s">
        <v>416</v>
      </c>
      <c r="D204" s="1727" t="s">
        <v>481</v>
      </c>
    </row>
    <row r="205" spans="2:4" x14ac:dyDescent="0.2">
      <c r="B205" s="1729">
        <v>205</v>
      </c>
      <c r="C205" s="1728" t="s">
        <v>415</v>
      </c>
      <c r="D205" s="1727" t="s">
        <v>1405</v>
      </c>
    </row>
    <row r="206" spans="2:4" x14ac:dyDescent="0.2">
      <c r="B206" s="1729">
        <v>206</v>
      </c>
      <c r="C206" s="1728" t="s">
        <v>524</v>
      </c>
      <c r="D206" s="1727" t="s">
        <v>889</v>
      </c>
    </row>
    <row r="207" spans="2:4" x14ac:dyDescent="0.2">
      <c r="B207" s="1729">
        <v>207</v>
      </c>
      <c r="C207" s="1728" t="s">
        <v>514</v>
      </c>
      <c r="D207" s="1727" t="s">
        <v>890</v>
      </c>
    </row>
    <row r="208" spans="2:4" x14ac:dyDescent="0.2">
      <c r="B208" s="1729">
        <v>208</v>
      </c>
      <c r="C208" s="1728" t="s">
        <v>523</v>
      </c>
      <c r="D208" s="1727" t="s">
        <v>891</v>
      </c>
    </row>
    <row r="209" spans="2:4" x14ac:dyDescent="0.2">
      <c r="B209" s="1729">
        <v>209</v>
      </c>
      <c r="C209" s="1728" t="s">
        <v>522</v>
      </c>
      <c r="D209" s="1727" t="s">
        <v>892</v>
      </c>
    </row>
    <row r="210" spans="2:4" x14ac:dyDescent="0.2">
      <c r="B210" s="1729">
        <v>210</v>
      </c>
      <c r="C210" s="1728" t="s">
        <v>521</v>
      </c>
      <c r="D210" s="1727" t="s">
        <v>893</v>
      </c>
    </row>
    <row r="211" spans="2:4" x14ac:dyDescent="0.2">
      <c r="B211" s="1729">
        <v>211</v>
      </c>
      <c r="C211" s="1728" t="s">
        <v>520</v>
      </c>
      <c r="D211" s="1727" t="s">
        <v>894</v>
      </c>
    </row>
    <row r="212" spans="2:4" x14ac:dyDescent="0.2">
      <c r="B212" s="1729">
        <v>212</v>
      </c>
      <c r="C212" s="1728" t="s">
        <v>519</v>
      </c>
      <c r="D212" s="1727" t="s">
        <v>895</v>
      </c>
    </row>
    <row r="213" spans="2:4" x14ac:dyDescent="0.2">
      <c r="B213" s="1729">
        <v>213</v>
      </c>
      <c r="C213" s="1728" t="s">
        <v>518</v>
      </c>
      <c r="D213" s="1727" t="s">
        <v>896</v>
      </c>
    </row>
    <row r="214" spans="2:4" x14ac:dyDescent="0.2">
      <c r="B214" s="1729">
        <v>214</v>
      </c>
      <c r="C214" s="1728" t="s">
        <v>517</v>
      </c>
      <c r="D214" s="1727" t="s">
        <v>897</v>
      </c>
    </row>
    <row r="215" spans="2:4" x14ac:dyDescent="0.2">
      <c r="B215" s="1729">
        <v>215</v>
      </c>
      <c r="C215" s="1728" t="s">
        <v>516</v>
      </c>
      <c r="D215" s="1727" t="s">
        <v>885</v>
      </c>
    </row>
    <row r="216" spans="2:4" x14ac:dyDescent="0.2">
      <c r="B216" s="1729">
        <v>216</v>
      </c>
      <c r="C216" s="1728" t="s">
        <v>515</v>
      </c>
      <c r="D216" s="1727" t="s">
        <v>887</v>
      </c>
    </row>
    <row r="217" spans="2:4" x14ac:dyDescent="0.2">
      <c r="B217" s="1729">
        <v>217</v>
      </c>
      <c r="C217" s="1728" t="s">
        <v>514</v>
      </c>
      <c r="D217" s="1727" t="s">
        <v>890</v>
      </c>
    </row>
    <row r="218" spans="2:4" x14ac:dyDescent="0.2">
      <c r="B218" s="1729">
        <v>218</v>
      </c>
      <c r="C218" s="1728" t="s">
        <v>513</v>
      </c>
      <c r="D218" s="1727" t="s">
        <v>898</v>
      </c>
    </row>
    <row r="219" spans="2:4" x14ac:dyDescent="0.2">
      <c r="B219" s="1729">
        <v>219</v>
      </c>
      <c r="C219" s="1728" t="s">
        <v>512</v>
      </c>
      <c r="D219" s="1727" t="s">
        <v>899</v>
      </c>
    </row>
    <row r="220" spans="2:4" x14ac:dyDescent="0.2">
      <c r="B220" s="1729">
        <v>220</v>
      </c>
      <c r="C220" s="1728" t="s">
        <v>511</v>
      </c>
      <c r="D220" s="1727" t="s">
        <v>900</v>
      </c>
    </row>
    <row r="221" spans="2:4" x14ac:dyDescent="0.2">
      <c r="B221" s="1729">
        <v>221</v>
      </c>
      <c r="C221" s="1728" t="s">
        <v>510</v>
      </c>
      <c r="D221" s="1727" t="s">
        <v>901</v>
      </c>
    </row>
    <row r="222" spans="2:4" x14ac:dyDescent="0.2">
      <c r="B222" s="1729">
        <v>222</v>
      </c>
      <c r="C222" s="1728" t="s">
        <v>509</v>
      </c>
      <c r="D222" s="1727" t="s">
        <v>902</v>
      </c>
    </row>
    <row r="223" spans="2:4" x14ac:dyDescent="0.2">
      <c r="B223" s="1729">
        <v>223</v>
      </c>
      <c r="C223" s="1728" t="s">
        <v>508</v>
      </c>
      <c r="D223" s="1727" t="s">
        <v>903</v>
      </c>
    </row>
    <row r="224" spans="2:4" x14ac:dyDescent="0.2">
      <c r="B224" s="1729">
        <v>224</v>
      </c>
      <c r="C224" s="1728" t="s">
        <v>507</v>
      </c>
      <c r="D224" s="1727" t="s">
        <v>904</v>
      </c>
    </row>
    <row r="225" spans="2:5" x14ac:dyDescent="0.2">
      <c r="B225" s="1729">
        <v>225</v>
      </c>
      <c r="C225" s="1728" t="s">
        <v>506</v>
      </c>
      <c r="D225" s="1727" t="s">
        <v>905</v>
      </c>
    </row>
    <row r="226" spans="2:5" x14ac:dyDescent="0.2">
      <c r="B226" s="1729">
        <v>226</v>
      </c>
      <c r="C226" s="1728" t="s">
        <v>505</v>
      </c>
      <c r="D226" s="1727" t="s">
        <v>505</v>
      </c>
    </row>
    <row r="227" spans="2:5" x14ac:dyDescent="0.2">
      <c r="B227" s="1729">
        <v>227</v>
      </c>
      <c r="C227" s="1728" t="s">
        <v>504</v>
      </c>
      <c r="D227" s="1727" t="s">
        <v>906</v>
      </c>
    </row>
    <row r="228" spans="2:5" x14ac:dyDescent="0.2">
      <c r="B228" s="1729">
        <v>228</v>
      </c>
      <c r="C228" s="1728" t="s">
        <v>459</v>
      </c>
      <c r="D228" s="1727" t="s">
        <v>458</v>
      </c>
    </row>
    <row r="229" spans="2:5" x14ac:dyDescent="0.2">
      <c r="B229" s="1729">
        <v>229</v>
      </c>
      <c r="C229" s="1728" t="s">
        <v>503</v>
      </c>
      <c r="D229" s="1727" t="s">
        <v>907</v>
      </c>
    </row>
    <row r="230" spans="2:5" x14ac:dyDescent="0.2">
      <c r="B230" s="1729">
        <v>230</v>
      </c>
      <c r="C230" s="1728" t="s">
        <v>502</v>
      </c>
      <c r="D230" s="1727" t="s">
        <v>908</v>
      </c>
    </row>
    <row r="231" spans="2:5" x14ac:dyDescent="0.2">
      <c r="B231" s="1729">
        <v>231</v>
      </c>
      <c r="C231" s="1728" t="s">
        <v>501</v>
      </c>
      <c r="D231" s="1727" t="s">
        <v>909</v>
      </c>
    </row>
    <row r="232" spans="2:5" x14ac:dyDescent="0.2">
      <c r="B232" s="1729">
        <v>232</v>
      </c>
      <c r="C232" s="1728" t="s">
        <v>500</v>
      </c>
      <c r="D232" s="1727" t="s">
        <v>910</v>
      </c>
    </row>
    <row r="233" spans="2:5" x14ac:dyDescent="0.2">
      <c r="B233" s="1729">
        <v>233</v>
      </c>
      <c r="C233" s="1728" t="s">
        <v>130</v>
      </c>
      <c r="D233" s="1727" t="s">
        <v>911</v>
      </c>
    </row>
    <row r="234" spans="2:5" x14ac:dyDescent="0.2">
      <c r="B234" s="1729">
        <v>234</v>
      </c>
      <c r="C234" s="1728" t="s">
        <v>499</v>
      </c>
      <c r="D234" s="1727" t="s">
        <v>912</v>
      </c>
    </row>
    <row r="235" spans="2:5" x14ac:dyDescent="0.2">
      <c r="B235" s="1729">
        <v>235</v>
      </c>
      <c r="C235" s="1728" t="s">
        <v>498</v>
      </c>
      <c r="D235" s="1727" t="s">
        <v>913</v>
      </c>
    </row>
    <row r="236" spans="2:5" x14ac:dyDescent="0.2">
      <c r="B236" s="1729">
        <v>236</v>
      </c>
      <c r="C236" s="1728" t="s">
        <v>497</v>
      </c>
      <c r="D236" s="1727" t="s">
        <v>914</v>
      </c>
      <c r="E236" s="1727" t="s">
        <v>496</v>
      </c>
    </row>
    <row r="237" spans="2:5" x14ac:dyDescent="0.2">
      <c r="B237" s="1729">
        <v>237</v>
      </c>
      <c r="C237" s="1728" t="s">
        <v>495</v>
      </c>
      <c r="D237" s="1727" t="s">
        <v>915</v>
      </c>
      <c r="E237" s="1727" t="s">
        <v>1262</v>
      </c>
    </row>
    <row r="238" spans="2:5" x14ac:dyDescent="0.2">
      <c r="B238" s="1729">
        <v>238</v>
      </c>
      <c r="C238" s="1728" t="s">
        <v>494</v>
      </c>
      <c r="D238" s="1727" t="s">
        <v>916</v>
      </c>
    </row>
    <row r="239" spans="2:5" x14ac:dyDescent="0.2">
      <c r="B239" s="1729">
        <v>239</v>
      </c>
      <c r="C239" s="1728" t="s">
        <v>493</v>
      </c>
      <c r="D239" s="1727" t="s">
        <v>917</v>
      </c>
    </row>
    <row r="240" spans="2:5" x14ac:dyDescent="0.2">
      <c r="B240" s="1729">
        <v>240</v>
      </c>
      <c r="C240" s="1728" t="s">
        <v>492</v>
      </c>
      <c r="D240" s="1727" t="s">
        <v>918</v>
      </c>
    </row>
    <row r="241" spans="2:4" x14ac:dyDescent="0.2">
      <c r="B241" s="1729">
        <v>241</v>
      </c>
      <c r="C241" s="1728" t="s">
        <v>491</v>
      </c>
      <c r="D241" s="1727" t="s">
        <v>919</v>
      </c>
    </row>
    <row r="242" spans="2:4" x14ac:dyDescent="0.2">
      <c r="B242" s="1729">
        <v>242</v>
      </c>
      <c r="C242" s="1728" t="s">
        <v>419</v>
      </c>
      <c r="D242" s="1727" t="s">
        <v>419</v>
      </c>
    </row>
    <row r="243" spans="2:4" x14ac:dyDescent="0.2">
      <c r="B243" s="1729">
        <v>243</v>
      </c>
      <c r="C243" s="1728" t="s">
        <v>420</v>
      </c>
      <c r="D243" s="1727" t="s">
        <v>888</v>
      </c>
    </row>
    <row r="244" spans="2:4" x14ac:dyDescent="0.2">
      <c r="B244" s="1729">
        <v>244</v>
      </c>
      <c r="C244" s="1728" t="s">
        <v>490</v>
      </c>
      <c r="D244" s="1727" t="s">
        <v>920</v>
      </c>
    </row>
    <row r="245" spans="2:4" x14ac:dyDescent="0.2">
      <c r="B245" s="1729">
        <v>245</v>
      </c>
      <c r="C245" s="1728" t="s">
        <v>489</v>
      </c>
      <c r="D245" s="1727" t="s">
        <v>921</v>
      </c>
    </row>
    <row r="246" spans="2:4" x14ac:dyDescent="0.2">
      <c r="B246" s="1729">
        <v>246</v>
      </c>
      <c r="C246" s="1728" t="s">
        <v>488</v>
      </c>
      <c r="D246" s="1727" t="s">
        <v>922</v>
      </c>
    </row>
    <row r="247" spans="2:4" x14ac:dyDescent="0.2">
      <c r="B247" s="1729">
        <v>247</v>
      </c>
      <c r="C247" s="1728" t="s">
        <v>487</v>
      </c>
      <c r="D247" s="1727" t="s">
        <v>923</v>
      </c>
    </row>
    <row r="248" spans="2:4" x14ac:dyDescent="0.2">
      <c r="B248" s="1729">
        <v>248</v>
      </c>
      <c r="C248" s="1728" t="s">
        <v>486</v>
      </c>
      <c r="D248" s="1727" t="s">
        <v>879</v>
      </c>
    </row>
    <row r="249" spans="2:4" x14ac:dyDescent="0.2">
      <c r="B249" s="1729">
        <v>249</v>
      </c>
      <c r="C249" s="1728" t="s">
        <v>485</v>
      </c>
      <c r="D249" s="1727" t="s">
        <v>924</v>
      </c>
    </row>
    <row r="250" spans="2:4" x14ac:dyDescent="0.2">
      <c r="B250" s="1729">
        <v>250</v>
      </c>
      <c r="C250" s="1728" t="s">
        <v>486</v>
      </c>
      <c r="D250" s="1727" t="s">
        <v>879</v>
      </c>
    </row>
    <row r="251" spans="2:4" x14ac:dyDescent="0.2">
      <c r="B251" s="1729">
        <v>251</v>
      </c>
      <c r="C251" s="1728" t="s">
        <v>485</v>
      </c>
      <c r="D251" s="1727" t="s">
        <v>924</v>
      </c>
    </row>
    <row r="252" spans="2:4" x14ac:dyDescent="0.2">
      <c r="B252" s="1729">
        <v>252</v>
      </c>
      <c r="C252" s="1728" t="s">
        <v>419</v>
      </c>
      <c r="D252" s="1727" t="s">
        <v>419</v>
      </c>
    </row>
    <row r="253" spans="2:4" x14ac:dyDescent="0.2">
      <c r="B253" s="1729">
        <v>253</v>
      </c>
      <c r="C253" s="1728" t="s">
        <v>420</v>
      </c>
      <c r="D253" s="1727" t="s">
        <v>888</v>
      </c>
    </row>
    <row r="254" spans="2:4" x14ac:dyDescent="0.2">
      <c r="B254" s="1729">
        <v>254</v>
      </c>
      <c r="C254" s="1728" t="s">
        <v>484</v>
      </c>
      <c r="D254" s="1727" t="s">
        <v>925</v>
      </c>
    </row>
    <row r="255" spans="2:4" x14ac:dyDescent="0.2">
      <c r="B255" s="1729">
        <v>255</v>
      </c>
      <c r="C255" s="1728" t="s">
        <v>483</v>
      </c>
      <c r="D255" s="1727" t="s">
        <v>926</v>
      </c>
    </row>
    <row r="256" spans="2:4" x14ac:dyDescent="0.2">
      <c r="B256" s="1729">
        <v>256</v>
      </c>
      <c r="C256" s="1728" t="s">
        <v>482</v>
      </c>
      <c r="D256" s="1727" t="s">
        <v>927</v>
      </c>
    </row>
    <row r="257" spans="2:5" x14ac:dyDescent="0.2">
      <c r="B257" s="1729">
        <v>257</v>
      </c>
      <c r="C257" s="1728" t="s">
        <v>483</v>
      </c>
      <c r="D257" s="1727" t="s">
        <v>926</v>
      </c>
    </row>
    <row r="258" spans="2:5" x14ac:dyDescent="0.2">
      <c r="B258" s="1729">
        <v>258</v>
      </c>
      <c r="C258" s="1728" t="s">
        <v>482</v>
      </c>
      <c r="D258" s="1727" t="s">
        <v>927</v>
      </c>
    </row>
    <row r="259" spans="2:5" x14ac:dyDescent="0.2">
      <c r="B259" s="1729">
        <v>259</v>
      </c>
      <c r="C259" s="1728" t="s">
        <v>416</v>
      </c>
      <c r="D259" s="1727" t="s">
        <v>481</v>
      </c>
      <c r="E259" s="1727" t="s">
        <v>480</v>
      </c>
    </row>
    <row r="260" spans="2:5" x14ac:dyDescent="0.2">
      <c r="B260" s="1729">
        <v>260</v>
      </c>
      <c r="C260" s="1728" t="s">
        <v>415</v>
      </c>
      <c r="D260" s="1727" t="s">
        <v>1405</v>
      </c>
      <c r="E260" s="1727" t="s">
        <v>1263</v>
      </c>
    </row>
    <row r="261" spans="2:5" x14ac:dyDescent="0.2">
      <c r="B261" s="1729">
        <v>261</v>
      </c>
      <c r="C261" s="1728" t="s">
        <v>479</v>
      </c>
      <c r="D261" s="1727" t="s">
        <v>928</v>
      </c>
      <c r="E261" s="1727" t="s">
        <v>695</v>
      </c>
    </row>
    <row r="262" spans="2:5" x14ac:dyDescent="0.2">
      <c r="B262" s="1729">
        <v>262</v>
      </c>
      <c r="C262" s="1728" t="s">
        <v>374</v>
      </c>
      <c r="D262" s="1727" t="s">
        <v>929</v>
      </c>
      <c r="E262" s="1727" t="s">
        <v>1264</v>
      </c>
    </row>
    <row r="263" spans="2:5" x14ac:dyDescent="0.2">
      <c r="B263" s="1729">
        <v>263</v>
      </c>
      <c r="C263" s="1728" t="s">
        <v>478</v>
      </c>
      <c r="D263" s="1727" t="s">
        <v>930</v>
      </c>
      <c r="E263" s="1727" t="s">
        <v>704</v>
      </c>
    </row>
    <row r="264" spans="2:5" x14ac:dyDescent="0.2">
      <c r="B264" s="1729">
        <v>264</v>
      </c>
      <c r="C264" s="1728" t="s">
        <v>477</v>
      </c>
      <c r="D264" s="1727" t="s">
        <v>931</v>
      </c>
      <c r="E264" s="1727" t="s">
        <v>1265</v>
      </c>
    </row>
    <row r="265" spans="2:5" x14ac:dyDescent="0.2">
      <c r="B265" s="1729">
        <v>265</v>
      </c>
      <c r="C265" s="1728" t="s">
        <v>375</v>
      </c>
      <c r="D265" s="1727" t="s">
        <v>859</v>
      </c>
    </row>
    <row r="266" spans="2:5" x14ac:dyDescent="0.2">
      <c r="B266" s="1729">
        <v>266</v>
      </c>
      <c r="C266" s="1728" t="s">
        <v>38</v>
      </c>
      <c r="D266" s="1727" t="s">
        <v>768</v>
      </c>
      <c r="E266" s="1727" t="s">
        <v>476</v>
      </c>
    </row>
    <row r="267" spans="2:5" x14ac:dyDescent="0.2">
      <c r="B267" s="1729">
        <v>267</v>
      </c>
      <c r="C267" s="1731" t="s">
        <v>475</v>
      </c>
      <c r="D267" s="1727" t="s">
        <v>932</v>
      </c>
      <c r="E267" s="1727" t="s">
        <v>1266</v>
      </c>
    </row>
    <row r="268" spans="2:5" x14ac:dyDescent="0.2">
      <c r="B268" s="1729">
        <v>268</v>
      </c>
      <c r="C268" s="1728" t="s">
        <v>396</v>
      </c>
      <c r="D268" s="1727" t="s">
        <v>933</v>
      </c>
    </row>
    <row r="269" spans="2:5" x14ac:dyDescent="0.2">
      <c r="B269" s="1729">
        <v>269</v>
      </c>
      <c r="C269" s="1728" t="s">
        <v>395</v>
      </c>
      <c r="D269" s="1727" t="s">
        <v>934</v>
      </c>
      <c r="E269" s="1727" t="s">
        <v>717</v>
      </c>
    </row>
    <row r="270" spans="2:5" x14ac:dyDescent="0.2">
      <c r="B270" s="1729">
        <v>270</v>
      </c>
      <c r="C270" s="1728" t="s">
        <v>394</v>
      </c>
      <c r="D270" s="1727" t="s">
        <v>935</v>
      </c>
      <c r="E270" s="1727" t="s">
        <v>1267</v>
      </c>
    </row>
    <row r="271" spans="2:5" x14ac:dyDescent="0.2">
      <c r="B271" s="1729">
        <v>271</v>
      </c>
      <c r="C271" s="1728" t="s">
        <v>393</v>
      </c>
      <c r="D271" s="1727" t="s">
        <v>936</v>
      </c>
    </row>
    <row r="272" spans="2:5" x14ac:dyDescent="0.2">
      <c r="B272" s="1729">
        <v>272</v>
      </c>
      <c r="C272" s="1728" t="s">
        <v>474</v>
      </c>
      <c r="D272" s="1727" t="s">
        <v>937</v>
      </c>
    </row>
    <row r="273" spans="2:4" x14ac:dyDescent="0.2">
      <c r="B273" s="1729">
        <v>273</v>
      </c>
      <c r="C273" s="1728" t="s">
        <v>392</v>
      </c>
      <c r="D273" s="1727" t="s">
        <v>938</v>
      </c>
    </row>
    <row r="274" spans="2:4" x14ac:dyDescent="0.2">
      <c r="B274" s="1729">
        <v>274</v>
      </c>
      <c r="C274" s="1728" t="s">
        <v>391</v>
      </c>
      <c r="D274" s="1727" t="s">
        <v>939</v>
      </c>
    </row>
    <row r="275" spans="2:4" x14ac:dyDescent="0.2">
      <c r="B275" s="1729">
        <v>275</v>
      </c>
      <c r="C275" s="1728" t="s">
        <v>390</v>
      </c>
      <c r="D275" s="1727" t="s">
        <v>940</v>
      </c>
    </row>
    <row r="276" spans="2:4" x14ac:dyDescent="0.2">
      <c r="B276" s="1729">
        <v>276</v>
      </c>
      <c r="C276" s="1728" t="s">
        <v>473</v>
      </c>
      <c r="D276" s="1727" t="s">
        <v>941</v>
      </c>
    </row>
    <row r="277" spans="2:4" x14ac:dyDescent="0.2">
      <c r="B277" s="1729">
        <v>277</v>
      </c>
      <c r="C277" s="1728" t="s">
        <v>347</v>
      </c>
      <c r="D277" s="1727" t="s">
        <v>864</v>
      </c>
    </row>
    <row r="278" spans="2:4" x14ac:dyDescent="0.2">
      <c r="B278" s="1729">
        <v>278</v>
      </c>
      <c r="C278" s="1728" t="s">
        <v>472</v>
      </c>
      <c r="D278" s="1727" t="s">
        <v>942</v>
      </c>
    </row>
    <row r="279" spans="2:4" x14ac:dyDescent="0.2">
      <c r="B279" s="1729">
        <v>279</v>
      </c>
      <c r="C279" s="1728" t="s">
        <v>471</v>
      </c>
      <c r="D279" s="1727" t="s">
        <v>943</v>
      </c>
    </row>
    <row r="280" spans="2:4" x14ac:dyDescent="0.2">
      <c r="B280" s="1729">
        <v>280</v>
      </c>
      <c r="C280" s="1728" t="s">
        <v>470</v>
      </c>
      <c r="D280" s="1727" t="s">
        <v>944</v>
      </c>
    </row>
    <row r="281" spans="2:4" x14ac:dyDescent="0.2">
      <c r="B281" s="1729">
        <v>281</v>
      </c>
      <c r="C281" s="1728" t="s">
        <v>469</v>
      </c>
      <c r="D281" s="1727" t="s">
        <v>945</v>
      </c>
    </row>
    <row r="282" spans="2:4" x14ac:dyDescent="0.2">
      <c r="B282" s="1729">
        <v>282</v>
      </c>
      <c r="C282" s="1728" t="s">
        <v>468</v>
      </c>
      <c r="D282" s="1727" t="s">
        <v>946</v>
      </c>
    </row>
    <row r="283" spans="2:4" x14ac:dyDescent="0.2">
      <c r="B283" s="1729">
        <v>283</v>
      </c>
      <c r="C283" s="1728" t="s">
        <v>345</v>
      </c>
      <c r="D283" s="1727" t="s">
        <v>835</v>
      </c>
    </row>
    <row r="284" spans="2:4" x14ac:dyDescent="0.2">
      <c r="B284" s="1729">
        <v>284</v>
      </c>
      <c r="C284" s="1728" t="s">
        <v>39</v>
      </c>
      <c r="D284" s="1727" t="s">
        <v>834</v>
      </c>
    </row>
    <row r="285" spans="2:4" x14ac:dyDescent="0.2">
      <c r="B285" s="1729">
        <v>285</v>
      </c>
      <c r="C285" s="1728" t="s">
        <v>467</v>
      </c>
      <c r="D285" s="1732" t="s">
        <v>947</v>
      </c>
    </row>
    <row r="286" spans="2:4" x14ac:dyDescent="0.2">
      <c r="B286" s="1729">
        <v>286</v>
      </c>
      <c r="C286" s="1728" t="s">
        <v>466</v>
      </c>
      <c r="D286" s="1727" t="s">
        <v>948</v>
      </c>
    </row>
    <row r="287" spans="2:4" x14ac:dyDescent="0.2">
      <c r="B287" s="1729">
        <v>287</v>
      </c>
      <c r="C287" s="1728" t="s">
        <v>465</v>
      </c>
      <c r="D287" s="1727" t="s">
        <v>949</v>
      </c>
    </row>
    <row r="288" spans="2:4" x14ac:dyDescent="0.2">
      <c r="B288" s="1729">
        <v>288</v>
      </c>
      <c r="C288" s="1728" t="s">
        <v>462</v>
      </c>
      <c r="D288" s="1727" t="s">
        <v>950</v>
      </c>
    </row>
    <row r="289" spans="2:4" x14ac:dyDescent="0.2">
      <c r="B289" s="1729">
        <v>289</v>
      </c>
      <c r="C289" s="1728" t="s">
        <v>464</v>
      </c>
      <c r="D289" s="1727" t="s">
        <v>951</v>
      </c>
    </row>
    <row r="290" spans="2:4" x14ac:dyDescent="0.2">
      <c r="B290" s="1729">
        <v>290</v>
      </c>
      <c r="C290" s="1728" t="s">
        <v>463</v>
      </c>
      <c r="D290" s="1727" t="s">
        <v>952</v>
      </c>
    </row>
    <row r="291" spans="2:4" x14ac:dyDescent="0.2">
      <c r="B291" s="1729">
        <v>291</v>
      </c>
      <c r="C291" s="1728" t="s">
        <v>462</v>
      </c>
      <c r="D291" s="1727" t="s">
        <v>950</v>
      </c>
    </row>
    <row r="292" spans="2:4" x14ac:dyDescent="0.2">
      <c r="B292" s="1729">
        <v>292</v>
      </c>
      <c r="C292" s="1728" t="s">
        <v>461</v>
      </c>
      <c r="D292" s="1727" t="s">
        <v>953</v>
      </c>
    </row>
    <row r="293" spans="2:4" x14ac:dyDescent="0.2">
      <c r="B293" s="1729">
        <v>293</v>
      </c>
      <c r="C293" s="1728" t="s">
        <v>460</v>
      </c>
      <c r="D293" s="1727" t="s">
        <v>954</v>
      </c>
    </row>
    <row r="294" spans="2:4" x14ac:dyDescent="0.2">
      <c r="B294" s="1729">
        <v>294</v>
      </c>
      <c r="C294" s="1728" t="s">
        <v>459</v>
      </c>
      <c r="D294" s="1727" t="s">
        <v>458</v>
      </c>
    </row>
    <row r="295" spans="2:4" x14ac:dyDescent="0.2">
      <c r="B295" s="1729">
        <v>295</v>
      </c>
      <c r="C295" s="1728" t="s">
        <v>457</v>
      </c>
      <c r="D295" s="1727" t="s">
        <v>955</v>
      </c>
    </row>
    <row r="296" spans="2:4" x14ac:dyDescent="0.2">
      <c r="B296" s="1729">
        <v>296</v>
      </c>
      <c r="C296" s="1728" t="s">
        <v>456</v>
      </c>
      <c r="D296" s="1727" t="s">
        <v>956</v>
      </c>
    </row>
    <row r="297" spans="2:4" x14ac:dyDescent="0.2">
      <c r="B297" s="1729">
        <v>297</v>
      </c>
      <c r="C297" s="1728" t="s">
        <v>455</v>
      </c>
      <c r="D297" s="1727" t="s">
        <v>957</v>
      </c>
    </row>
    <row r="298" spans="2:4" x14ac:dyDescent="0.2">
      <c r="B298" s="1729">
        <v>298</v>
      </c>
      <c r="C298" s="1728" t="s">
        <v>454</v>
      </c>
      <c r="D298" s="1727" t="s">
        <v>958</v>
      </c>
    </row>
    <row r="299" spans="2:4" x14ac:dyDescent="0.2">
      <c r="B299" s="1729">
        <v>299</v>
      </c>
      <c r="C299" s="1728" t="s">
        <v>453</v>
      </c>
      <c r="D299" s="1727" t="s">
        <v>959</v>
      </c>
    </row>
    <row r="300" spans="2:4" x14ac:dyDescent="0.2">
      <c r="B300" s="1729">
        <v>300</v>
      </c>
      <c r="C300" s="1728" t="s">
        <v>178</v>
      </c>
      <c r="D300" s="1727" t="s">
        <v>960</v>
      </c>
    </row>
    <row r="301" spans="2:4" x14ac:dyDescent="0.2">
      <c r="B301" s="1729">
        <v>301</v>
      </c>
      <c r="C301" s="1728" t="s">
        <v>452</v>
      </c>
      <c r="D301" s="1727" t="s">
        <v>961</v>
      </c>
    </row>
    <row r="302" spans="2:4" x14ac:dyDescent="0.2">
      <c r="B302" s="1729">
        <v>302</v>
      </c>
      <c r="C302" s="1728" t="s">
        <v>451</v>
      </c>
      <c r="D302" s="1727" t="s">
        <v>962</v>
      </c>
    </row>
    <row r="303" spans="2:4" x14ac:dyDescent="0.2">
      <c r="B303" s="1729">
        <v>303</v>
      </c>
      <c r="C303" s="1728" t="s">
        <v>450</v>
      </c>
      <c r="D303" s="1727" t="s">
        <v>963</v>
      </c>
    </row>
    <row r="304" spans="2:4" x14ac:dyDescent="0.2">
      <c r="B304" s="1729">
        <v>304</v>
      </c>
      <c r="C304" s="1728" t="s">
        <v>449</v>
      </c>
      <c r="D304" s="1727" t="s">
        <v>964</v>
      </c>
    </row>
    <row r="305" spans="2:4" x14ac:dyDescent="0.2">
      <c r="B305" s="1729">
        <v>305</v>
      </c>
      <c r="C305" s="1728" t="s">
        <v>436</v>
      </c>
      <c r="D305" s="1727" t="s">
        <v>965</v>
      </c>
    </row>
    <row r="306" spans="2:4" x14ac:dyDescent="0.2">
      <c r="B306" s="1729">
        <v>306</v>
      </c>
      <c r="C306" s="1728" t="s">
        <v>435</v>
      </c>
      <c r="D306" s="1727" t="s">
        <v>966</v>
      </c>
    </row>
    <row r="307" spans="2:4" x14ac:dyDescent="0.2">
      <c r="B307" s="1729">
        <v>307</v>
      </c>
      <c r="C307" s="1728" t="s">
        <v>434</v>
      </c>
      <c r="D307" s="1727" t="s">
        <v>967</v>
      </c>
    </row>
    <row r="308" spans="2:4" x14ac:dyDescent="0.2">
      <c r="B308" s="1729">
        <v>308</v>
      </c>
      <c r="C308" s="1728" t="s">
        <v>443</v>
      </c>
      <c r="D308" s="1727" t="s">
        <v>968</v>
      </c>
    </row>
    <row r="309" spans="2:4" x14ac:dyDescent="0.2">
      <c r="B309" s="1729">
        <v>309</v>
      </c>
      <c r="C309" s="1728" t="s">
        <v>420</v>
      </c>
      <c r="D309" s="1727" t="s">
        <v>888</v>
      </c>
    </row>
    <row r="310" spans="2:4" x14ac:dyDescent="0.2">
      <c r="B310" s="1729">
        <v>310</v>
      </c>
      <c r="C310" s="1728" t="s">
        <v>419</v>
      </c>
      <c r="D310" s="1727" t="s">
        <v>419</v>
      </c>
    </row>
    <row r="311" spans="2:4" x14ac:dyDescent="0.2">
      <c r="B311" s="1729">
        <v>311</v>
      </c>
      <c r="C311" s="1728" t="s">
        <v>448</v>
      </c>
      <c r="D311" s="1727" t="s">
        <v>969</v>
      </c>
    </row>
    <row r="312" spans="2:4" x14ac:dyDescent="0.2">
      <c r="B312" s="1729">
        <v>312</v>
      </c>
      <c r="C312" s="1728" t="s">
        <v>447</v>
      </c>
      <c r="D312" s="1727" t="s">
        <v>970</v>
      </c>
    </row>
    <row r="313" spans="2:4" x14ac:dyDescent="0.2">
      <c r="B313" s="1729">
        <v>313</v>
      </c>
      <c r="C313" s="1728" t="s">
        <v>416</v>
      </c>
      <c r="D313" s="1727" t="s">
        <v>971</v>
      </c>
    </row>
    <row r="314" spans="2:4" x14ac:dyDescent="0.2">
      <c r="B314" s="1729">
        <v>314</v>
      </c>
      <c r="C314" s="1728" t="s">
        <v>415</v>
      </c>
      <c r="D314" s="1727" t="s">
        <v>972</v>
      </c>
    </row>
    <row r="315" spans="2:4" x14ac:dyDescent="0.2">
      <c r="B315" s="1729">
        <v>315</v>
      </c>
      <c r="C315" s="1728" t="s">
        <v>448</v>
      </c>
      <c r="D315" s="1727" t="s">
        <v>969</v>
      </c>
    </row>
    <row r="316" spans="2:4" x14ac:dyDescent="0.2">
      <c r="B316" s="1729">
        <v>316</v>
      </c>
      <c r="C316" s="1728" t="s">
        <v>447</v>
      </c>
      <c r="D316" s="1727" t="s">
        <v>970</v>
      </c>
    </row>
    <row r="317" spans="2:4" x14ac:dyDescent="0.2">
      <c r="B317" s="1729">
        <v>317</v>
      </c>
      <c r="C317" s="1728" t="s">
        <v>446</v>
      </c>
      <c r="D317" s="1727" t="s">
        <v>973</v>
      </c>
    </row>
    <row r="318" spans="2:4" x14ac:dyDescent="0.2">
      <c r="B318" s="1729">
        <v>318</v>
      </c>
      <c r="C318" s="1728" t="s">
        <v>445</v>
      </c>
      <c r="D318" s="1727" t="s">
        <v>974</v>
      </c>
    </row>
    <row r="319" spans="2:4" x14ac:dyDescent="0.2">
      <c r="B319" s="1729">
        <v>319</v>
      </c>
      <c r="C319" s="1728" t="s">
        <v>444</v>
      </c>
      <c r="D319" s="1727" t="s">
        <v>975</v>
      </c>
    </row>
    <row r="320" spans="2:4" x14ac:dyDescent="0.2">
      <c r="B320" s="1729">
        <v>320</v>
      </c>
      <c r="C320" s="1728" t="s">
        <v>443</v>
      </c>
      <c r="D320" s="1727" t="s">
        <v>976</v>
      </c>
    </row>
    <row r="321" spans="2:4" x14ac:dyDescent="0.2">
      <c r="B321" s="1729">
        <v>321</v>
      </c>
      <c r="C321" s="1728" t="s">
        <v>442</v>
      </c>
      <c r="D321" s="1727" t="s">
        <v>977</v>
      </c>
    </row>
    <row r="322" spans="2:4" x14ac:dyDescent="0.2">
      <c r="B322" s="1729">
        <v>322</v>
      </c>
      <c r="C322" s="1728" t="s">
        <v>441</v>
      </c>
      <c r="D322" s="1732" t="s">
        <v>978</v>
      </c>
    </row>
    <row r="323" spans="2:4" x14ac:dyDescent="0.2">
      <c r="B323" s="1729">
        <v>323</v>
      </c>
      <c r="C323" s="1728" t="s">
        <v>440</v>
      </c>
      <c r="D323" s="1727" t="s">
        <v>979</v>
      </c>
    </row>
    <row r="324" spans="2:4" x14ac:dyDescent="0.2">
      <c r="B324" s="1729">
        <v>324</v>
      </c>
      <c r="C324" s="1728" t="s">
        <v>439</v>
      </c>
      <c r="D324" s="1727" t="s">
        <v>980</v>
      </c>
    </row>
    <row r="325" spans="2:4" x14ac:dyDescent="0.2">
      <c r="B325" s="1729">
        <v>325</v>
      </c>
      <c r="C325" s="1728" t="s">
        <v>438</v>
      </c>
      <c r="D325" s="1727" t="s">
        <v>981</v>
      </c>
    </row>
    <row r="326" spans="2:4" x14ac:dyDescent="0.2">
      <c r="B326" s="1729">
        <v>326</v>
      </c>
      <c r="C326" s="1728" t="s">
        <v>437</v>
      </c>
      <c r="D326" s="1727" t="s">
        <v>982</v>
      </c>
    </row>
    <row r="327" spans="2:4" x14ac:dyDescent="0.2">
      <c r="B327" s="1729">
        <v>327</v>
      </c>
      <c r="C327" s="1728" t="s">
        <v>436</v>
      </c>
      <c r="D327" s="1727" t="s">
        <v>983</v>
      </c>
    </row>
    <row r="328" spans="2:4" x14ac:dyDescent="0.2">
      <c r="B328" s="1729">
        <v>328</v>
      </c>
      <c r="C328" s="1728" t="s">
        <v>435</v>
      </c>
      <c r="D328" s="1727" t="s">
        <v>966</v>
      </c>
    </row>
    <row r="329" spans="2:4" x14ac:dyDescent="0.2">
      <c r="B329" s="1729">
        <v>329</v>
      </c>
      <c r="C329" s="1728" t="s">
        <v>434</v>
      </c>
      <c r="D329" s="1727" t="s">
        <v>967</v>
      </c>
    </row>
    <row r="330" spans="2:4" x14ac:dyDescent="0.2">
      <c r="B330" s="1729">
        <v>330</v>
      </c>
      <c r="C330" s="1728" t="s">
        <v>433</v>
      </c>
      <c r="D330" s="1727" t="s">
        <v>984</v>
      </c>
    </row>
    <row r="331" spans="2:4" x14ac:dyDescent="0.2">
      <c r="B331" s="1729">
        <v>331</v>
      </c>
      <c r="C331" s="1728" t="s">
        <v>432</v>
      </c>
      <c r="D331" s="1727" t="s">
        <v>985</v>
      </c>
    </row>
    <row r="332" spans="2:4" x14ac:dyDescent="0.2">
      <c r="B332" s="1729">
        <v>332</v>
      </c>
      <c r="C332" s="1728" t="s">
        <v>431</v>
      </c>
      <c r="D332" s="1727" t="s">
        <v>986</v>
      </c>
    </row>
    <row r="333" spans="2:4" x14ac:dyDescent="0.2">
      <c r="B333" s="1729">
        <v>333</v>
      </c>
      <c r="C333" s="1728" t="s">
        <v>430</v>
      </c>
      <c r="D333" s="1727" t="s">
        <v>987</v>
      </c>
    </row>
    <row r="334" spans="2:4" x14ac:dyDescent="0.2">
      <c r="B334" s="1729">
        <v>334</v>
      </c>
      <c r="C334" s="1728" t="s">
        <v>429</v>
      </c>
      <c r="D334" s="1727" t="s">
        <v>988</v>
      </c>
    </row>
    <row r="335" spans="2:4" x14ac:dyDescent="0.2">
      <c r="B335" s="1729">
        <v>335</v>
      </c>
      <c r="C335" s="1728" t="s">
        <v>428</v>
      </c>
      <c r="D335" s="1727" t="s">
        <v>989</v>
      </c>
    </row>
    <row r="336" spans="2:4" x14ac:dyDescent="0.2">
      <c r="B336" s="1729">
        <v>336</v>
      </c>
      <c r="C336" s="1728" t="s">
        <v>427</v>
      </c>
      <c r="D336" s="1727" t="s">
        <v>990</v>
      </c>
    </row>
    <row r="337" spans="2:5" x14ac:dyDescent="0.2">
      <c r="B337" s="1729">
        <v>337</v>
      </c>
      <c r="C337" s="1728" t="s">
        <v>426</v>
      </c>
      <c r="D337" s="1727" t="s">
        <v>991</v>
      </c>
    </row>
    <row r="338" spans="2:5" x14ac:dyDescent="0.2">
      <c r="B338" s="1729">
        <v>338</v>
      </c>
      <c r="C338" s="1728" t="s">
        <v>425</v>
      </c>
      <c r="D338" s="1727" t="s">
        <v>983</v>
      </c>
    </row>
    <row r="339" spans="2:5" x14ac:dyDescent="0.2">
      <c r="B339" s="1729">
        <v>339</v>
      </c>
      <c r="C339" s="1728" t="s">
        <v>424</v>
      </c>
      <c r="D339" s="1727" t="s">
        <v>992</v>
      </c>
    </row>
    <row r="340" spans="2:5" x14ac:dyDescent="0.2">
      <c r="B340" s="1729">
        <v>340</v>
      </c>
      <c r="C340" s="1728" t="s">
        <v>423</v>
      </c>
      <c r="D340" s="1727" t="s">
        <v>993</v>
      </c>
    </row>
    <row r="341" spans="2:5" x14ac:dyDescent="0.2">
      <c r="B341" s="1729">
        <v>341</v>
      </c>
      <c r="C341" s="1728" t="s">
        <v>422</v>
      </c>
      <c r="D341" s="1727" t="s">
        <v>986</v>
      </c>
      <c r="E341" s="1727" t="s">
        <v>421</v>
      </c>
    </row>
    <row r="342" spans="2:5" x14ac:dyDescent="0.2">
      <c r="B342" s="1729">
        <v>342</v>
      </c>
      <c r="C342" s="1728" t="s">
        <v>420</v>
      </c>
      <c r="D342" s="1727" t="s">
        <v>994</v>
      </c>
      <c r="E342" s="1727" t="s">
        <v>1268</v>
      </c>
    </row>
    <row r="343" spans="2:5" x14ac:dyDescent="0.2">
      <c r="B343" s="1729">
        <v>343</v>
      </c>
      <c r="C343" s="1728" t="s">
        <v>419</v>
      </c>
      <c r="D343" s="1727" t="s">
        <v>419</v>
      </c>
    </row>
    <row r="344" spans="2:5" x14ac:dyDescent="0.2">
      <c r="B344" s="1729">
        <v>344</v>
      </c>
      <c r="C344" s="1728" t="s">
        <v>414</v>
      </c>
      <c r="D344" s="1727" t="s">
        <v>805</v>
      </c>
      <c r="E344" s="1727" t="s">
        <v>418</v>
      </c>
    </row>
    <row r="345" spans="2:5" x14ac:dyDescent="0.2">
      <c r="B345" s="1729">
        <v>345</v>
      </c>
      <c r="C345" s="1728" t="s">
        <v>413</v>
      </c>
      <c r="D345" s="1727" t="s">
        <v>995</v>
      </c>
      <c r="E345" s="1727" t="s">
        <v>1269</v>
      </c>
    </row>
    <row r="346" spans="2:5" x14ac:dyDescent="0.2">
      <c r="B346" s="1729">
        <v>346</v>
      </c>
      <c r="C346" s="1728" t="s">
        <v>412</v>
      </c>
      <c r="D346" s="1727" t="s">
        <v>996</v>
      </c>
    </row>
    <row r="347" spans="2:5" x14ac:dyDescent="0.2">
      <c r="B347" s="1729">
        <v>347</v>
      </c>
      <c r="C347" s="1728" t="s">
        <v>417</v>
      </c>
      <c r="D347" s="1727" t="s">
        <v>997</v>
      </c>
    </row>
    <row r="348" spans="2:5" x14ac:dyDescent="0.2">
      <c r="B348" s="1729">
        <v>348</v>
      </c>
      <c r="C348" s="1728" t="s">
        <v>416</v>
      </c>
      <c r="D348" s="1727" t="s">
        <v>971</v>
      </c>
    </row>
    <row r="349" spans="2:5" x14ac:dyDescent="0.2">
      <c r="B349" s="1729">
        <v>349</v>
      </c>
      <c r="C349" s="1728" t="s">
        <v>415</v>
      </c>
      <c r="D349" s="1727" t="s">
        <v>972</v>
      </c>
    </row>
    <row r="350" spans="2:5" x14ac:dyDescent="0.2">
      <c r="B350" s="1729">
        <v>350</v>
      </c>
      <c r="C350" s="1728" t="s">
        <v>414</v>
      </c>
      <c r="D350" s="1727" t="s">
        <v>805</v>
      </c>
    </row>
    <row r="351" spans="2:5" x14ac:dyDescent="0.2">
      <c r="B351" s="1729">
        <v>351</v>
      </c>
      <c r="C351" s="1728" t="s">
        <v>413</v>
      </c>
      <c r="D351" s="1727" t="s">
        <v>995</v>
      </c>
    </row>
    <row r="352" spans="2:5" x14ac:dyDescent="0.2">
      <c r="B352" s="1729">
        <v>352</v>
      </c>
      <c r="C352" s="1728" t="s">
        <v>412</v>
      </c>
      <c r="D352" s="1727" t="s">
        <v>996</v>
      </c>
    </row>
    <row r="353" spans="2:4" x14ac:dyDescent="0.2">
      <c r="B353" s="1729">
        <v>353</v>
      </c>
      <c r="C353" s="1728" t="s">
        <v>411</v>
      </c>
      <c r="D353" s="1727" t="s">
        <v>998</v>
      </c>
    </row>
    <row r="354" spans="2:4" x14ac:dyDescent="0.2">
      <c r="B354" s="1729">
        <v>354</v>
      </c>
      <c r="C354" s="1728" t="s">
        <v>410</v>
      </c>
      <c r="D354" s="1727" t="s">
        <v>999</v>
      </c>
    </row>
    <row r="355" spans="2:4" x14ac:dyDescent="0.2">
      <c r="B355" s="1729">
        <v>355</v>
      </c>
      <c r="C355" s="1728" t="s">
        <v>409</v>
      </c>
      <c r="D355" s="1727" t="s">
        <v>1000</v>
      </c>
    </row>
    <row r="356" spans="2:4" x14ac:dyDescent="0.2">
      <c r="B356" s="1729">
        <v>356</v>
      </c>
      <c r="C356" s="1728" t="s">
        <v>408</v>
      </c>
      <c r="D356" s="1727" t="s">
        <v>1001</v>
      </c>
    </row>
    <row r="357" spans="2:4" x14ac:dyDescent="0.2">
      <c r="B357" s="1729">
        <v>357</v>
      </c>
      <c r="C357" s="1728" t="s">
        <v>407</v>
      </c>
      <c r="D357" s="1727" t="s">
        <v>1002</v>
      </c>
    </row>
    <row r="358" spans="2:4" x14ac:dyDescent="0.2">
      <c r="B358" s="1729">
        <v>358</v>
      </c>
      <c r="C358" s="1728" t="s">
        <v>406</v>
      </c>
      <c r="D358" s="1727" t="s">
        <v>1003</v>
      </c>
    </row>
    <row r="359" spans="2:4" x14ac:dyDescent="0.2">
      <c r="B359" s="1729">
        <v>359</v>
      </c>
      <c r="C359" s="1728" t="s">
        <v>405</v>
      </c>
      <c r="D359" s="1727" t="s">
        <v>1004</v>
      </c>
    </row>
    <row r="360" spans="2:4" x14ac:dyDescent="0.2">
      <c r="B360" s="1729">
        <v>360</v>
      </c>
      <c r="C360" s="1728" t="s">
        <v>404</v>
      </c>
      <c r="D360" s="1727" t="s">
        <v>1005</v>
      </c>
    </row>
    <row r="361" spans="2:4" x14ac:dyDescent="0.2">
      <c r="B361" s="1729">
        <v>361</v>
      </c>
      <c r="C361" s="1728" t="s">
        <v>1401</v>
      </c>
      <c r="D361" s="1727" t="s">
        <v>1403</v>
      </c>
    </row>
    <row r="362" spans="2:4" x14ac:dyDescent="0.2">
      <c r="B362" s="1729">
        <v>362</v>
      </c>
      <c r="C362" s="1728" t="s">
        <v>1402</v>
      </c>
      <c r="D362" s="1727" t="s">
        <v>1404</v>
      </c>
    </row>
    <row r="363" spans="2:4" x14ac:dyDescent="0.2">
      <c r="B363" s="1729">
        <v>363</v>
      </c>
      <c r="C363" s="1728" t="s">
        <v>403</v>
      </c>
      <c r="D363" s="1727" t="s">
        <v>1006</v>
      </c>
    </row>
    <row r="364" spans="2:4" x14ac:dyDescent="0.2">
      <c r="B364" s="1729">
        <v>364</v>
      </c>
      <c r="C364" s="1728" t="s">
        <v>402</v>
      </c>
      <c r="D364" s="1727" t="s">
        <v>1007</v>
      </c>
    </row>
    <row r="365" spans="2:4" x14ac:dyDescent="0.2">
      <c r="B365" s="1729">
        <v>365</v>
      </c>
      <c r="C365" s="1728" t="s">
        <v>401</v>
      </c>
      <c r="D365" s="1727" t="s">
        <v>1008</v>
      </c>
    </row>
    <row r="366" spans="2:4" x14ac:dyDescent="0.2">
      <c r="B366" s="1729">
        <v>366</v>
      </c>
      <c r="C366" s="1728" t="s">
        <v>400</v>
      </c>
      <c r="D366" s="1727" t="s">
        <v>1009</v>
      </c>
    </row>
    <row r="367" spans="2:4" x14ac:dyDescent="0.2">
      <c r="B367" s="1729">
        <v>367</v>
      </c>
      <c r="C367" s="1728" t="s">
        <v>399</v>
      </c>
      <c r="D367" s="1727" t="s">
        <v>1010</v>
      </c>
    </row>
    <row r="368" spans="2:4" x14ac:dyDescent="0.2">
      <c r="B368" s="1729">
        <v>368</v>
      </c>
      <c r="C368" s="1728" t="s">
        <v>398</v>
      </c>
      <c r="D368" s="1727" t="s">
        <v>1011</v>
      </c>
    </row>
    <row r="369" spans="2:5" x14ac:dyDescent="0.2">
      <c r="B369" s="1729">
        <v>369</v>
      </c>
      <c r="C369" s="1728" t="s">
        <v>191</v>
      </c>
      <c r="D369" s="1727" t="s">
        <v>999</v>
      </c>
    </row>
    <row r="370" spans="2:5" x14ac:dyDescent="0.2">
      <c r="B370" s="1729">
        <v>370</v>
      </c>
      <c r="C370" s="1728" t="s">
        <v>397</v>
      </c>
      <c r="D370" s="1727" t="s">
        <v>1012</v>
      </c>
    </row>
    <row r="371" spans="2:5" x14ac:dyDescent="0.2">
      <c r="B371" s="1729">
        <v>371</v>
      </c>
      <c r="C371" s="1728" t="s">
        <v>396</v>
      </c>
      <c r="D371" s="1727" t="s">
        <v>933</v>
      </c>
    </row>
    <row r="372" spans="2:5" x14ac:dyDescent="0.2">
      <c r="B372" s="1729">
        <v>372</v>
      </c>
      <c r="C372" s="1728" t="s">
        <v>395</v>
      </c>
      <c r="D372" s="1727" t="s">
        <v>934</v>
      </c>
    </row>
    <row r="373" spans="2:5" x14ac:dyDescent="0.2">
      <c r="B373" s="1729">
        <v>373</v>
      </c>
      <c r="C373" s="1728" t="s">
        <v>394</v>
      </c>
      <c r="D373" s="1727" t="s">
        <v>935</v>
      </c>
    </row>
    <row r="374" spans="2:5" x14ac:dyDescent="0.2">
      <c r="B374" s="1729">
        <v>374</v>
      </c>
      <c r="C374" s="1728" t="s">
        <v>393</v>
      </c>
      <c r="D374" s="1727" t="s">
        <v>936</v>
      </c>
    </row>
    <row r="375" spans="2:5" x14ac:dyDescent="0.2">
      <c r="B375" s="1729">
        <v>375</v>
      </c>
      <c r="C375" s="1728" t="s">
        <v>392</v>
      </c>
      <c r="D375" s="1727" t="s">
        <v>938</v>
      </c>
    </row>
    <row r="376" spans="2:5" x14ac:dyDescent="0.2">
      <c r="B376" s="1729">
        <v>376</v>
      </c>
      <c r="C376" s="1728" t="s">
        <v>391</v>
      </c>
      <c r="D376" s="1727" t="s">
        <v>939</v>
      </c>
    </row>
    <row r="377" spans="2:5" x14ac:dyDescent="0.2">
      <c r="B377" s="1729">
        <v>377</v>
      </c>
      <c r="C377" s="1728" t="s">
        <v>390</v>
      </c>
      <c r="D377" s="1727" t="s">
        <v>940</v>
      </c>
      <c r="E377" s="1727" t="s">
        <v>389</v>
      </c>
    </row>
    <row r="378" spans="2:5" x14ac:dyDescent="0.2">
      <c r="B378" s="1729">
        <v>378</v>
      </c>
      <c r="C378" s="1728" t="s">
        <v>388</v>
      </c>
      <c r="D378" s="1727" t="s">
        <v>1013</v>
      </c>
      <c r="E378" s="1727" t="s">
        <v>1270</v>
      </c>
    </row>
    <row r="379" spans="2:5" x14ac:dyDescent="0.2">
      <c r="B379" s="1729">
        <v>379</v>
      </c>
      <c r="C379" s="1728" t="s">
        <v>387</v>
      </c>
      <c r="D379" s="1727" t="s">
        <v>1014</v>
      </c>
    </row>
    <row r="380" spans="2:5" x14ac:dyDescent="0.2">
      <c r="B380" s="1729">
        <v>380</v>
      </c>
      <c r="C380" s="1728" t="s">
        <v>386</v>
      </c>
      <c r="D380" s="1727" t="s">
        <v>1015</v>
      </c>
      <c r="E380" s="1727" t="s">
        <v>385</v>
      </c>
    </row>
    <row r="381" spans="2:5" x14ac:dyDescent="0.2">
      <c r="B381" s="1729">
        <v>381</v>
      </c>
      <c r="C381" s="1728" t="s">
        <v>384</v>
      </c>
      <c r="D381" s="1727" t="s">
        <v>1016</v>
      </c>
      <c r="E381" s="1727" t="s">
        <v>1271</v>
      </c>
    </row>
    <row r="382" spans="2:5" x14ac:dyDescent="0.2">
      <c r="B382" s="1729">
        <v>382</v>
      </c>
      <c r="C382" s="1728" t="s">
        <v>383</v>
      </c>
      <c r="D382" s="1727" t="s">
        <v>1017</v>
      </c>
    </row>
    <row r="383" spans="2:5" x14ac:dyDescent="0.2">
      <c r="B383" s="1729">
        <v>383</v>
      </c>
      <c r="C383" s="1728" t="s">
        <v>382</v>
      </c>
      <c r="D383" s="1727" t="s">
        <v>1018</v>
      </c>
      <c r="E383" s="1727" t="s">
        <v>381</v>
      </c>
    </row>
    <row r="384" spans="2:5" x14ac:dyDescent="0.2">
      <c r="B384" s="1729">
        <v>384</v>
      </c>
      <c r="C384" s="1728" t="s">
        <v>380</v>
      </c>
      <c r="D384" s="1727" t="s">
        <v>1019</v>
      </c>
      <c r="E384" s="1727" t="s">
        <v>1272</v>
      </c>
    </row>
    <row r="385" spans="2:5" x14ac:dyDescent="0.2">
      <c r="B385" s="1729">
        <v>385</v>
      </c>
      <c r="C385" s="1728" t="s">
        <v>379</v>
      </c>
      <c r="D385" s="1727" t="s">
        <v>1020</v>
      </c>
    </row>
    <row r="386" spans="2:5" x14ac:dyDescent="0.2">
      <c r="B386" s="1729">
        <v>386</v>
      </c>
      <c r="C386" s="1728" t="s">
        <v>378</v>
      </c>
      <c r="D386" s="1727" t="s">
        <v>1021</v>
      </c>
      <c r="E386" s="1727" t="s">
        <v>377</v>
      </c>
    </row>
    <row r="387" spans="2:5" x14ac:dyDescent="0.2">
      <c r="B387" s="1729">
        <v>387</v>
      </c>
      <c r="C387" s="1728" t="s">
        <v>376</v>
      </c>
      <c r="D387" s="1727" t="s">
        <v>1022</v>
      </c>
      <c r="E387" s="1727" t="s">
        <v>1273</v>
      </c>
    </row>
    <row r="388" spans="2:5" x14ac:dyDescent="0.2">
      <c r="B388" s="1729">
        <v>388</v>
      </c>
      <c r="C388" s="1728" t="s">
        <v>375</v>
      </c>
      <c r="D388" s="1727" t="s">
        <v>859</v>
      </c>
    </row>
    <row r="389" spans="2:5" x14ac:dyDescent="0.2">
      <c r="B389" s="1729">
        <v>389</v>
      </c>
      <c r="C389" s="1728" t="s">
        <v>374</v>
      </c>
      <c r="D389" s="1727" t="s">
        <v>1023</v>
      </c>
      <c r="E389" s="1727" t="s">
        <v>373</v>
      </c>
    </row>
    <row r="390" spans="2:5" x14ac:dyDescent="0.2">
      <c r="B390" s="1729">
        <v>390</v>
      </c>
      <c r="C390" s="1728" t="s">
        <v>372</v>
      </c>
      <c r="D390" s="1727" t="s">
        <v>1024</v>
      </c>
      <c r="E390" s="1727" t="s">
        <v>1274</v>
      </c>
    </row>
    <row r="391" spans="2:5" x14ac:dyDescent="0.2">
      <c r="B391" s="1729">
        <v>391</v>
      </c>
      <c r="C391" s="1728" t="s">
        <v>38</v>
      </c>
      <c r="D391" s="1727" t="s">
        <v>768</v>
      </c>
    </row>
    <row r="392" spans="2:5" x14ac:dyDescent="0.2">
      <c r="B392" s="1729">
        <v>392</v>
      </c>
      <c r="C392" s="1731" t="s">
        <v>371</v>
      </c>
      <c r="D392" s="1727" t="s">
        <v>1025</v>
      </c>
    </row>
    <row r="393" spans="2:5" x14ac:dyDescent="0.2">
      <c r="B393" s="1729">
        <v>393</v>
      </c>
      <c r="C393" s="1728" t="s">
        <v>370</v>
      </c>
      <c r="D393" s="1727" t="s">
        <v>1026</v>
      </c>
    </row>
    <row r="394" spans="2:5" x14ac:dyDescent="0.2">
      <c r="B394" s="1729">
        <v>394</v>
      </c>
      <c r="C394" s="1728" t="s">
        <v>347</v>
      </c>
      <c r="D394" s="1727" t="s">
        <v>864</v>
      </c>
    </row>
    <row r="395" spans="2:5" x14ac:dyDescent="0.2">
      <c r="B395" s="1729">
        <v>395</v>
      </c>
      <c r="C395" s="1728" t="s">
        <v>369</v>
      </c>
      <c r="D395" s="1727" t="s">
        <v>1027</v>
      </c>
    </row>
    <row r="396" spans="2:5" x14ac:dyDescent="0.2">
      <c r="B396" s="1729">
        <v>396</v>
      </c>
      <c r="C396" s="1728" t="s">
        <v>368</v>
      </c>
      <c r="D396" s="1727" t="s">
        <v>1028</v>
      </c>
    </row>
    <row r="397" spans="2:5" x14ac:dyDescent="0.2">
      <c r="B397" s="1729">
        <v>397</v>
      </c>
      <c r="C397" s="1728" t="s">
        <v>367</v>
      </c>
      <c r="D397" s="1727" t="s">
        <v>1029</v>
      </c>
    </row>
    <row r="398" spans="2:5" x14ac:dyDescent="0.2">
      <c r="B398" s="1729">
        <v>398</v>
      </c>
      <c r="C398" s="1728" t="s">
        <v>366</v>
      </c>
      <c r="D398" s="1727" t="s">
        <v>1030</v>
      </c>
    </row>
    <row r="399" spans="2:5" x14ac:dyDescent="0.2">
      <c r="B399" s="1729">
        <v>399</v>
      </c>
      <c r="C399" s="1728" t="s">
        <v>365</v>
      </c>
      <c r="D399" s="1727" t="s">
        <v>1031</v>
      </c>
    </row>
    <row r="400" spans="2:5" x14ac:dyDescent="0.2">
      <c r="B400" s="1729">
        <v>400</v>
      </c>
      <c r="C400" s="1728" t="s">
        <v>362</v>
      </c>
      <c r="D400" s="1727" t="s">
        <v>1032</v>
      </c>
    </row>
    <row r="401" spans="2:5" x14ac:dyDescent="0.2">
      <c r="B401" s="1729">
        <v>401</v>
      </c>
      <c r="C401" s="1728" t="s">
        <v>39</v>
      </c>
      <c r="D401" s="1727" t="s">
        <v>834</v>
      </c>
    </row>
    <row r="402" spans="2:5" x14ac:dyDescent="0.2">
      <c r="B402" s="1729">
        <v>402</v>
      </c>
      <c r="C402" s="1728" t="s">
        <v>345</v>
      </c>
      <c r="D402" s="1727" t="s">
        <v>835</v>
      </c>
      <c r="E402" s="1727" t="s">
        <v>364</v>
      </c>
    </row>
    <row r="403" spans="2:5" x14ac:dyDescent="0.2">
      <c r="B403" s="1729">
        <v>403</v>
      </c>
      <c r="C403" s="1728" t="s">
        <v>363</v>
      </c>
      <c r="D403" s="1727" t="s">
        <v>1033</v>
      </c>
      <c r="E403" s="1727" t="s">
        <v>1275</v>
      </c>
    </row>
    <row r="404" spans="2:5" x14ac:dyDescent="0.2">
      <c r="B404" s="1729">
        <v>404</v>
      </c>
      <c r="C404" s="1728" t="s">
        <v>362</v>
      </c>
      <c r="D404" s="1727" t="s">
        <v>1032</v>
      </c>
    </row>
    <row r="405" spans="2:5" x14ac:dyDescent="0.2">
      <c r="B405" s="1729">
        <v>405</v>
      </c>
      <c r="C405" s="1728" t="s">
        <v>353</v>
      </c>
      <c r="D405" s="1727" t="s">
        <v>838</v>
      </c>
    </row>
    <row r="406" spans="2:5" x14ac:dyDescent="0.2">
      <c r="B406" s="1729">
        <v>406</v>
      </c>
      <c r="C406" s="1728" t="s">
        <v>352</v>
      </c>
      <c r="D406" s="1727" t="s">
        <v>839</v>
      </c>
    </row>
    <row r="407" spans="2:5" x14ac:dyDescent="0.2">
      <c r="B407" s="1729">
        <v>407</v>
      </c>
      <c r="C407" s="1728" t="s">
        <v>350</v>
      </c>
      <c r="D407" s="1727" t="s">
        <v>1034</v>
      </c>
    </row>
    <row r="408" spans="2:5" x14ac:dyDescent="0.2">
      <c r="B408" s="1729">
        <v>408</v>
      </c>
      <c r="C408" s="1728" t="s">
        <v>38</v>
      </c>
      <c r="D408" s="1727" t="s">
        <v>768</v>
      </c>
    </row>
    <row r="409" spans="2:5" x14ac:dyDescent="0.2">
      <c r="B409" s="1729">
        <v>409</v>
      </c>
      <c r="C409" s="1731" t="s">
        <v>361</v>
      </c>
      <c r="D409" s="1727" t="s">
        <v>1035</v>
      </c>
    </row>
    <row r="410" spans="2:5" x14ac:dyDescent="0.2">
      <c r="B410" s="1729">
        <v>410</v>
      </c>
      <c r="C410" s="1728" t="s">
        <v>347</v>
      </c>
      <c r="D410" s="1727" t="s">
        <v>864</v>
      </c>
    </row>
    <row r="411" spans="2:5" x14ac:dyDescent="0.2">
      <c r="B411" s="1729">
        <v>411</v>
      </c>
      <c r="C411" s="1728" t="s">
        <v>360</v>
      </c>
      <c r="D411" s="1727" t="s">
        <v>1292</v>
      </c>
    </row>
    <row r="412" spans="2:5" x14ac:dyDescent="0.2">
      <c r="B412" s="1729">
        <v>412</v>
      </c>
      <c r="C412" s="1728" t="s">
        <v>359</v>
      </c>
      <c r="D412" s="1727" t="s">
        <v>1293</v>
      </c>
    </row>
    <row r="413" spans="2:5" x14ac:dyDescent="0.2">
      <c r="B413" s="1729">
        <v>413</v>
      </c>
      <c r="C413" s="1728" t="s">
        <v>358</v>
      </c>
      <c r="D413" s="1727" t="s">
        <v>1036</v>
      </c>
    </row>
    <row r="414" spans="2:5" x14ac:dyDescent="0.2">
      <c r="B414" s="1729">
        <v>414</v>
      </c>
      <c r="C414" s="1728" t="s">
        <v>357</v>
      </c>
      <c r="D414" s="1727" t="s">
        <v>1294</v>
      </c>
      <c r="E414" s="1727" t="s">
        <v>356</v>
      </c>
    </row>
    <row r="415" spans="2:5" x14ac:dyDescent="0.2">
      <c r="B415" s="1729">
        <v>415</v>
      </c>
      <c r="C415" s="1728" t="s">
        <v>39</v>
      </c>
      <c r="D415" s="1727" t="s">
        <v>834</v>
      </c>
      <c r="E415" s="1727" t="s">
        <v>1276</v>
      </c>
    </row>
    <row r="416" spans="2:5" x14ac:dyDescent="0.2">
      <c r="B416" s="1729">
        <v>416</v>
      </c>
      <c r="C416" s="1728" t="s">
        <v>345</v>
      </c>
      <c r="D416" s="1727" t="s">
        <v>835</v>
      </c>
    </row>
    <row r="417" spans="2:5" x14ac:dyDescent="0.2">
      <c r="B417" s="1729">
        <v>417</v>
      </c>
      <c r="C417" s="1728" t="s">
        <v>355</v>
      </c>
      <c r="D417" s="1727" t="s">
        <v>1295</v>
      </c>
      <c r="E417" s="1727" t="s">
        <v>1345</v>
      </c>
    </row>
    <row r="418" spans="2:5" x14ac:dyDescent="0.2">
      <c r="B418" s="1729">
        <v>418</v>
      </c>
      <c r="C418" s="1728" t="s">
        <v>354</v>
      </c>
      <c r="D418" s="1727" t="s">
        <v>1037</v>
      </c>
      <c r="E418" s="1727" t="s">
        <v>1346</v>
      </c>
    </row>
    <row r="419" spans="2:5" x14ac:dyDescent="0.2">
      <c r="B419" s="1729">
        <v>419</v>
      </c>
      <c r="C419" s="1728" t="s">
        <v>353</v>
      </c>
      <c r="D419" s="1727" t="s">
        <v>838</v>
      </c>
    </row>
    <row r="420" spans="2:5" x14ac:dyDescent="0.2">
      <c r="B420" s="1729">
        <v>420</v>
      </c>
      <c r="C420" s="1728" t="s">
        <v>352</v>
      </c>
      <c r="D420" s="1727" t="s">
        <v>839</v>
      </c>
      <c r="E420" s="1727" t="s">
        <v>351</v>
      </c>
    </row>
    <row r="421" spans="2:5" x14ac:dyDescent="0.2">
      <c r="B421" s="1729">
        <v>421</v>
      </c>
      <c r="C421" s="1728" t="s">
        <v>350</v>
      </c>
      <c r="D421" s="1727" t="s">
        <v>1034</v>
      </c>
      <c r="E421" s="1727" t="s">
        <v>1277</v>
      </c>
    </row>
    <row r="422" spans="2:5" x14ac:dyDescent="0.2">
      <c r="B422" s="1729">
        <v>422</v>
      </c>
      <c r="C422" s="1728" t="s">
        <v>349</v>
      </c>
      <c r="D422" s="1727" t="s">
        <v>874</v>
      </c>
    </row>
    <row r="423" spans="2:5" x14ac:dyDescent="0.2">
      <c r="B423" s="1729">
        <v>423</v>
      </c>
      <c r="C423" s="1728" t="s">
        <v>38</v>
      </c>
      <c r="D423" s="1727" t="s">
        <v>768</v>
      </c>
      <c r="E423" s="1727" t="s">
        <v>723</v>
      </c>
    </row>
    <row r="424" spans="2:5" x14ac:dyDescent="0.2">
      <c r="B424" s="1729">
        <v>424</v>
      </c>
      <c r="C424" s="1731" t="s">
        <v>348</v>
      </c>
      <c r="D424" s="1727" t="s">
        <v>1038</v>
      </c>
      <c r="E424" s="1727" t="s">
        <v>1278</v>
      </c>
    </row>
    <row r="425" spans="2:5" x14ac:dyDescent="0.2">
      <c r="B425" s="1729">
        <v>425</v>
      </c>
      <c r="C425" s="1728" t="s">
        <v>347</v>
      </c>
      <c r="D425" s="1727" t="s">
        <v>864</v>
      </c>
    </row>
    <row r="426" spans="2:5" x14ac:dyDescent="0.2">
      <c r="B426" s="1729">
        <v>426</v>
      </c>
      <c r="C426" s="1728" t="s">
        <v>346</v>
      </c>
      <c r="D426" s="1727" t="s">
        <v>1039</v>
      </c>
    </row>
    <row r="427" spans="2:5" x14ac:dyDescent="0.2">
      <c r="B427" s="1729">
        <v>427</v>
      </c>
      <c r="C427" s="1728" t="s">
        <v>39</v>
      </c>
      <c r="D427" s="1727" t="s">
        <v>834</v>
      </c>
    </row>
    <row r="428" spans="2:5" x14ac:dyDescent="0.2">
      <c r="B428" s="1729">
        <v>428</v>
      </c>
      <c r="C428" s="1728" t="s">
        <v>345</v>
      </c>
      <c r="D428" s="1727" t="s">
        <v>835</v>
      </c>
    </row>
    <row r="429" spans="2:5" x14ac:dyDescent="0.2">
      <c r="B429" s="1729">
        <v>429</v>
      </c>
      <c r="C429" s="1728" t="s">
        <v>344</v>
      </c>
      <c r="D429" s="1727" t="s">
        <v>1040</v>
      </c>
    </row>
    <row r="430" spans="2:5" x14ac:dyDescent="0.2">
      <c r="B430" s="1729">
        <v>430</v>
      </c>
      <c r="C430" s="1728" t="s">
        <v>38</v>
      </c>
      <c r="D430" s="1727" t="s">
        <v>768</v>
      </c>
    </row>
    <row r="431" spans="2:5" x14ac:dyDescent="0.2">
      <c r="B431" s="1729">
        <v>431</v>
      </c>
      <c r="C431" s="1728" t="s">
        <v>343</v>
      </c>
      <c r="D431" s="1727" t="s">
        <v>1041</v>
      </c>
    </row>
    <row r="432" spans="2:5" x14ac:dyDescent="0.2">
      <c r="B432" s="1729">
        <v>432</v>
      </c>
      <c r="C432" s="1731" t="s">
        <v>342</v>
      </c>
      <c r="D432" s="1727" t="s">
        <v>1042</v>
      </c>
    </row>
    <row r="433" spans="2:5" x14ac:dyDescent="0.2">
      <c r="B433" s="1729">
        <v>433</v>
      </c>
      <c r="C433" s="1728" t="s">
        <v>47</v>
      </c>
      <c r="D433" s="1727" t="s">
        <v>1043</v>
      </c>
      <c r="E433" s="1727" t="s">
        <v>725</v>
      </c>
    </row>
    <row r="434" spans="2:5" x14ac:dyDescent="0.2">
      <c r="B434" s="1729">
        <v>434</v>
      </c>
      <c r="C434" s="1728" t="s">
        <v>341</v>
      </c>
      <c r="D434" s="1727" t="s">
        <v>1296</v>
      </c>
      <c r="E434" s="1727" t="s">
        <v>1279</v>
      </c>
    </row>
    <row r="435" spans="2:5" x14ac:dyDescent="0.2">
      <c r="B435" s="1729">
        <v>435</v>
      </c>
      <c r="C435" s="1728" t="s">
        <v>340</v>
      </c>
      <c r="D435" s="1727" t="s">
        <v>1027</v>
      </c>
    </row>
    <row r="436" spans="2:5" x14ac:dyDescent="0.2">
      <c r="B436" s="1729">
        <v>436</v>
      </c>
      <c r="C436" s="1728" t="s">
        <v>339</v>
      </c>
      <c r="D436" s="1727" t="s">
        <v>1044</v>
      </c>
    </row>
    <row r="437" spans="2:5" x14ac:dyDescent="0.2">
      <c r="B437" s="1729">
        <v>437</v>
      </c>
      <c r="C437" s="1728" t="s">
        <v>338</v>
      </c>
      <c r="D437" s="1727" t="s">
        <v>1045</v>
      </c>
    </row>
    <row r="438" spans="2:5" x14ac:dyDescent="0.2">
      <c r="B438" s="1729">
        <v>438</v>
      </c>
      <c r="C438" s="1728" t="s">
        <v>337</v>
      </c>
      <c r="D438" s="1727" t="s">
        <v>1046</v>
      </c>
    </row>
    <row r="439" spans="2:5" x14ac:dyDescent="0.2">
      <c r="B439" s="1729">
        <v>439</v>
      </c>
      <c r="C439" s="1728" t="s">
        <v>82</v>
      </c>
      <c r="D439" s="1727" t="s">
        <v>1047</v>
      </c>
    </row>
    <row r="440" spans="2:5" x14ac:dyDescent="0.2">
      <c r="B440" s="1729">
        <v>440</v>
      </c>
      <c r="C440" s="1728" t="s">
        <v>48</v>
      </c>
      <c r="D440" s="1727" t="s">
        <v>1048</v>
      </c>
    </row>
    <row r="441" spans="2:5" x14ac:dyDescent="0.2">
      <c r="B441" s="1729">
        <v>441</v>
      </c>
      <c r="C441" s="1728" t="s">
        <v>1</v>
      </c>
      <c r="D441" s="1727" t="s">
        <v>1049</v>
      </c>
    </row>
    <row r="442" spans="2:5" x14ac:dyDescent="0.2">
      <c r="B442" s="1729">
        <v>442</v>
      </c>
      <c r="C442" s="1728" t="s">
        <v>35</v>
      </c>
      <c r="D442" s="1727" t="s">
        <v>1050</v>
      </c>
    </row>
    <row r="443" spans="2:5" x14ac:dyDescent="0.2">
      <c r="B443" s="1729">
        <v>443</v>
      </c>
      <c r="C443" s="1728" t="s">
        <v>49</v>
      </c>
      <c r="D443" s="1727" t="s">
        <v>1051</v>
      </c>
    </row>
    <row r="444" spans="2:5" x14ac:dyDescent="0.2">
      <c r="B444" s="1729">
        <v>444</v>
      </c>
      <c r="C444" s="1728" t="s">
        <v>39</v>
      </c>
      <c r="D444" s="1727" t="s">
        <v>834</v>
      </c>
    </row>
    <row r="445" spans="2:5" x14ac:dyDescent="0.2">
      <c r="B445" s="1729">
        <v>445</v>
      </c>
      <c r="C445" s="1728" t="s">
        <v>336</v>
      </c>
      <c r="D445" s="1727" t="s">
        <v>1052</v>
      </c>
    </row>
    <row r="446" spans="2:5" x14ac:dyDescent="0.2">
      <c r="B446" s="1729">
        <v>446</v>
      </c>
      <c r="C446" s="1728" t="s">
        <v>335</v>
      </c>
      <c r="D446" s="1727" t="s">
        <v>1053</v>
      </c>
    </row>
    <row r="447" spans="2:5" x14ac:dyDescent="0.2">
      <c r="B447" s="1729">
        <v>447</v>
      </c>
      <c r="C447" s="1728" t="s">
        <v>334</v>
      </c>
      <c r="D447" s="1727" t="s">
        <v>1054</v>
      </c>
    </row>
    <row r="448" spans="2:5" x14ac:dyDescent="0.2">
      <c r="B448" s="1729">
        <v>448</v>
      </c>
      <c r="C448" s="1728" t="s">
        <v>211</v>
      </c>
      <c r="D448" s="1727" t="s">
        <v>1055</v>
      </c>
    </row>
    <row r="449" spans="2:4" x14ac:dyDescent="0.2">
      <c r="B449" s="1729">
        <v>449</v>
      </c>
      <c r="C449" s="1728" t="s">
        <v>213</v>
      </c>
      <c r="D449" s="1727" t="s">
        <v>1056</v>
      </c>
    </row>
    <row r="450" spans="2:4" x14ac:dyDescent="0.2">
      <c r="B450" s="1729">
        <v>450</v>
      </c>
      <c r="C450" s="1731" t="s">
        <v>333</v>
      </c>
      <c r="D450" s="1727" t="s">
        <v>1057</v>
      </c>
    </row>
    <row r="451" spans="2:4" x14ac:dyDescent="0.2">
      <c r="B451" s="1729">
        <v>451</v>
      </c>
      <c r="C451" s="1728" t="s">
        <v>332</v>
      </c>
      <c r="D451" s="1727" t="s">
        <v>1058</v>
      </c>
    </row>
    <row r="452" spans="2:4" x14ac:dyDescent="0.2">
      <c r="B452" s="1729">
        <v>452</v>
      </c>
      <c r="C452" s="1728" t="s">
        <v>331</v>
      </c>
      <c r="D452" s="1727" t="s">
        <v>806</v>
      </c>
    </row>
    <row r="453" spans="2:4" x14ac:dyDescent="0.2">
      <c r="B453" s="1729">
        <v>453</v>
      </c>
      <c r="C453" s="1728" t="s">
        <v>330</v>
      </c>
      <c r="D453" s="1727" t="s">
        <v>1059</v>
      </c>
    </row>
    <row r="454" spans="2:4" x14ac:dyDescent="0.2">
      <c r="B454" s="1729">
        <v>454</v>
      </c>
      <c r="C454" s="1728" t="s">
        <v>329</v>
      </c>
      <c r="D454" s="1727" t="s">
        <v>1060</v>
      </c>
    </row>
    <row r="455" spans="2:4" x14ac:dyDescent="0.2">
      <c r="B455" s="1729">
        <v>455</v>
      </c>
      <c r="C455" s="1728" t="s">
        <v>328</v>
      </c>
      <c r="D455" s="1727" t="s">
        <v>1061</v>
      </c>
    </row>
    <row r="456" spans="2:4" x14ac:dyDescent="0.2">
      <c r="B456" s="1729">
        <v>456</v>
      </c>
      <c r="C456" s="1728" t="s">
        <v>327</v>
      </c>
      <c r="D456" s="1727" t="s">
        <v>1062</v>
      </c>
    </row>
    <row r="457" spans="2:4" x14ac:dyDescent="0.2">
      <c r="B457" s="1729">
        <v>457</v>
      </c>
      <c r="C457" s="1728" t="s">
        <v>218</v>
      </c>
      <c r="D457" s="1727" t="s">
        <v>1063</v>
      </c>
    </row>
    <row r="458" spans="2:4" x14ac:dyDescent="0.2">
      <c r="B458" s="1729">
        <v>458</v>
      </c>
      <c r="C458" s="1728" t="s">
        <v>326</v>
      </c>
      <c r="D458" s="1727" t="s">
        <v>1064</v>
      </c>
    </row>
    <row r="459" spans="2:4" x14ac:dyDescent="0.2">
      <c r="B459" s="1729">
        <v>459</v>
      </c>
      <c r="C459" s="1728" t="s">
        <v>325</v>
      </c>
      <c r="D459" s="1727" t="s">
        <v>1065</v>
      </c>
    </row>
    <row r="460" spans="2:4" x14ac:dyDescent="0.2">
      <c r="B460" s="1729">
        <v>460</v>
      </c>
      <c r="C460" s="1728" t="s">
        <v>324</v>
      </c>
      <c r="D460" s="1727" t="s">
        <v>1066</v>
      </c>
    </row>
    <row r="461" spans="2:4" x14ac:dyDescent="0.2">
      <c r="B461" s="1729">
        <v>461</v>
      </c>
      <c r="C461" s="1728" t="s">
        <v>323</v>
      </c>
      <c r="D461" s="1730" t="s">
        <v>323</v>
      </c>
    </row>
    <row r="462" spans="2:4" x14ac:dyDescent="0.2">
      <c r="B462" s="1729">
        <v>462</v>
      </c>
      <c r="C462" s="1728" t="s">
        <v>322</v>
      </c>
      <c r="D462" s="1727" t="s">
        <v>1067</v>
      </c>
    </row>
    <row r="463" spans="2:4" x14ac:dyDescent="0.2">
      <c r="B463" s="1729">
        <v>463</v>
      </c>
      <c r="C463" s="1728" t="s">
        <v>321</v>
      </c>
      <c r="D463" s="1727" t="s">
        <v>1068</v>
      </c>
    </row>
    <row r="464" spans="2:4" x14ac:dyDescent="0.2">
      <c r="B464" s="1729">
        <v>464</v>
      </c>
      <c r="C464" s="1728" t="s">
        <v>320</v>
      </c>
      <c r="D464" s="1727" t="s">
        <v>1069</v>
      </c>
    </row>
    <row r="465" spans="2:4" x14ac:dyDescent="0.2">
      <c r="B465" s="1729">
        <v>465</v>
      </c>
      <c r="C465" s="1728" t="s">
        <v>319</v>
      </c>
      <c r="D465" s="1727" t="s">
        <v>1070</v>
      </c>
    </row>
    <row r="466" spans="2:4" x14ac:dyDescent="0.2">
      <c r="B466" s="1729">
        <v>466</v>
      </c>
      <c r="C466" s="1728" t="s">
        <v>318</v>
      </c>
      <c r="D466" s="1727" t="s">
        <v>1071</v>
      </c>
    </row>
    <row r="467" spans="2:4" x14ac:dyDescent="0.2">
      <c r="B467" s="1729">
        <v>467</v>
      </c>
      <c r="C467" s="1728" t="s">
        <v>317</v>
      </c>
      <c r="D467" s="1727" t="s">
        <v>774</v>
      </c>
    </row>
    <row r="468" spans="2:4" x14ac:dyDescent="0.2">
      <c r="B468" s="1729">
        <v>468</v>
      </c>
      <c r="C468" s="1728" t="s">
        <v>316</v>
      </c>
      <c r="D468" s="1727" t="s">
        <v>775</v>
      </c>
    </row>
    <row r="469" spans="2:4" x14ac:dyDescent="0.2">
      <c r="B469" s="1729">
        <v>469</v>
      </c>
      <c r="C469" s="1728" t="s">
        <v>315</v>
      </c>
      <c r="D469" s="1727" t="s">
        <v>776</v>
      </c>
    </row>
    <row r="470" spans="2:4" x14ac:dyDescent="0.2">
      <c r="B470" s="1729">
        <v>470</v>
      </c>
      <c r="C470" s="1728" t="s">
        <v>314</v>
      </c>
      <c r="D470" s="1727" t="s">
        <v>777</v>
      </c>
    </row>
    <row r="471" spans="2:4" x14ac:dyDescent="0.2">
      <c r="B471" s="1729">
        <v>471</v>
      </c>
      <c r="C471" s="1728" t="s">
        <v>313</v>
      </c>
      <c r="D471" s="1727" t="s">
        <v>778</v>
      </c>
    </row>
    <row r="472" spans="2:4" x14ac:dyDescent="0.2">
      <c r="B472" s="1729">
        <v>472</v>
      </c>
      <c r="C472" s="1728" t="s">
        <v>312</v>
      </c>
      <c r="D472" s="1727" t="s">
        <v>779</v>
      </c>
    </row>
    <row r="473" spans="2:4" x14ac:dyDescent="0.2">
      <c r="B473" s="1729">
        <v>473</v>
      </c>
      <c r="C473" s="1728" t="s">
        <v>311</v>
      </c>
      <c r="D473" s="1727" t="s">
        <v>780</v>
      </c>
    </row>
    <row r="474" spans="2:4" x14ac:dyDescent="0.2">
      <c r="B474" s="1729">
        <v>474</v>
      </c>
      <c r="C474" s="1728" t="s">
        <v>114</v>
      </c>
      <c r="D474" s="1727" t="s">
        <v>781</v>
      </c>
    </row>
    <row r="475" spans="2:4" x14ac:dyDescent="0.2">
      <c r="B475" s="1729">
        <v>475</v>
      </c>
      <c r="C475" s="1728" t="s">
        <v>296</v>
      </c>
      <c r="D475" s="1727" t="s">
        <v>782</v>
      </c>
    </row>
    <row r="476" spans="2:4" x14ac:dyDescent="0.2">
      <c r="B476" s="1729">
        <v>476</v>
      </c>
      <c r="C476" s="1728" t="s">
        <v>310</v>
      </c>
      <c r="D476" s="1727" t="s">
        <v>783</v>
      </c>
    </row>
    <row r="477" spans="2:4" x14ac:dyDescent="0.2">
      <c r="B477" s="1729">
        <v>477</v>
      </c>
      <c r="C477" s="1728" t="s">
        <v>309</v>
      </c>
      <c r="D477" s="1727" t="s">
        <v>784</v>
      </c>
    </row>
    <row r="478" spans="2:4" x14ac:dyDescent="0.2">
      <c r="B478" s="1729">
        <v>478</v>
      </c>
      <c r="C478" s="1728" t="s">
        <v>308</v>
      </c>
      <c r="D478" s="1727" t="s">
        <v>785</v>
      </c>
    </row>
    <row r="479" spans="2:4" x14ac:dyDescent="0.2">
      <c r="B479" s="1729">
        <v>479</v>
      </c>
      <c r="C479" s="1728" t="s">
        <v>291</v>
      </c>
      <c r="D479" s="1727" t="s">
        <v>1072</v>
      </c>
    </row>
    <row r="480" spans="2:4" x14ac:dyDescent="0.2">
      <c r="B480" s="1729">
        <v>480</v>
      </c>
      <c r="C480" s="1728" t="s">
        <v>290</v>
      </c>
      <c r="D480" s="1727" t="s">
        <v>1073</v>
      </c>
    </row>
    <row r="481" spans="2:4" x14ac:dyDescent="0.2">
      <c r="B481" s="1729">
        <v>481</v>
      </c>
      <c r="C481" s="1728" t="s">
        <v>289</v>
      </c>
      <c r="D481" s="1727" t="s">
        <v>1074</v>
      </c>
    </row>
    <row r="482" spans="2:4" x14ac:dyDescent="0.2">
      <c r="B482" s="1729">
        <v>482</v>
      </c>
      <c r="C482" s="1728" t="s">
        <v>288</v>
      </c>
      <c r="D482" s="1727" t="s">
        <v>745</v>
      </c>
    </row>
    <row r="483" spans="2:4" x14ac:dyDescent="0.2">
      <c r="B483" s="1729">
        <v>483</v>
      </c>
      <c r="C483" s="1728" t="s">
        <v>287</v>
      </c>
      <c r="D483" s="1727" t="s">
        <v>746</v>
      </c>
    </row>
    <row r="484" spans="2:4" x14ac:dyDescent="0.2">
      <c r="B484" s="1729">
        <v>484</v>
      </c>
      <c r="C484" s="1728" t="s">
        <v>127</v>
      </c>
      <c r="D484" s="1727" t="s">
        <v>771</v>
      </c>
    </row>
    <row r="485" spans="2:4" x14ac:dyDescent="0.2">
      <c r="B485" s="1729">
        <v>485</v>
      </c>
      <c r="C485" s="1728" t="s">
        <v>307</v>
      </c>
      <c r="D485" s="1727" t="s">
        <v>1075</v>
      </c>
    </row>
    <row r="486" spans="2:4" x14ac:dyDescent="0.2">
      <c r="B486" s="1729">
        <v>486</v>
      </c>
      <c r="C486" s="1728" t="s">
        <v>306</v>
      </c>
      <c r="D486" s="1727" t="s">
        <v>1076</v>
      </c>
    </row>
    <row r="487" spans="2:4" x14ac:dyDescent="0.2">
      <c r="B487" s="1729">
        <v>487</v>
      </c>
      <c r="C487" s="1728" t="s">
        <v>305</v>
      </c>
      <c r="D487" s="1727" t="s">
        <v>1077</v>
      </c>
    </row>
    <row r="488" spans="2:4" x14ac:dyDescent="0.2">
      <c r="B488" s="1729">
        <v>488</v>
      </c>
      <c r="C488" s="1728" t="s">
        <v>676</v>
      </c>
      <c r="D488" s="1727" t="s">
        <v>791</v>
      </c>
    </row>
    <row r="489" spans="2:4" x14ac:dyDescent="0.2">
      <c r="B489" s="1729">
        <v>489</v>
      </c>
      <c r="C489" s="1728" t="s">
        <v>304</v>
      </c>
      <c r="D489" s="1727" t="s">
        <v>792</v>
      </c>
    </row>
    <row r="490" spans="2:4" x14ac:dyDescent="0.2">
      <c r="B490" s="1729">
        <v>490</v>
      </c>
      <c r="C490" s="1728" t="s">
        <v>303</v>
      </c>
      <c r="D490" s="1727" t="s">
        <v>793</v>
      </c>
    </row>
    <row r="491" spans="2:4" x14ac:dyDescent="0.2">
      <c r="B491" s="1729">
        <v>491</v>
      </c>
      <c r="C491" s="1728" t="s">
        <v>302</v>
      </c>
      <c r="D491" s="1727" t="s">
        <v>1078</v>
      </c>
    </row>
    <row r="492" spans="2:4" x14ac:dyDescent="0.2">
      <c r="B492" s="1729">
        <v>492</v>
      </c>
      <c r="C492" s="1728" t="s">
        <v>114</v>
      </c>
      <c r="D492" s="1727" t="s">
        <v>781</v>
      </c>
    </row>
    <row r="493" spans="2:4" x14ac:dyDescent="0.2">
      <c r="B493" s="1729">
        <v>493</v>
      </c>
      <c r="C493" s="1728" t="s">
        <v>290</v>
      </c>
      <c r="D493" s="1727" t="s">
        <v>1073</v>
      </c>
    </row>
    <row r="494" spans="2:4" x14ac:dyDescent="0.2">
      <c r="B494" s="1729">
        <v>494</v>
      </c>
      <c r="C494" s="1728" t="s">
        <v>289</v>
      </c>
      <c r="D494" s="1727" t="s">
        <v>1074</v>
      </c>
    </row>
    <row r="495" spans="2:4" x14ac:dyDescent="0.2">
      <c r="B495" s="1729">
        <v>495</v>
      </c>
      <c r="C495" s="1728" t="s">
        <v>288</v>
      </c>
      <c r="D495" s="1727" t="s">
        <v>745</v>
      </c>
    </row>
    <row r="496" spans="2:4" x14ac:dyDescent="0.2">
      <c r="B496" s="1729">
        <v>496</v>
      </c>
      <c r="C496" s="1728" t="s">
        <v>287</v>
      </c>
      <c r="D496" s="1727" t="s">
        <v>746</v>
      </c>
    </row>
    <row r="497" spans="2:4" x14ac:dyDescent="0.2">
      <c r="B497" s="1729">
        <v>497</v>
      </c>
      <c r="C497" s="1728" t="s">
        <v>129</v>
      </c>
      <c r="D497" s="1727" t="s">
        <v>772</v>
      </c>
    </row>
    <row r="498" spans="2:4" x14ac:dyDescent="0.2">
      <c r="B498" s="1729">
        <v>498</v>
      </c>
      <c r="C498" s="1728" t="s">
        <v>301</v>
      </c>
      <c r="D498" s="1727" t="s">
        <v>795</v>
      </c>
    </row>
    <row r="499" spans="2:4" x14ac:dyDescent="0.2">
      <c r="B499" s="1729">
        <v>499</v>
      </c>
      <c r="C499" s="1728" t="s">
        <v>300</v>
      </c>
      <c r="D499" s="1727" t="s">
        <v>1079</v>
      </c>
    </row>
    <row r="500" spans="2:4" x14ac:dyDescent="0.2">
      <c r="B500" s="1729">
        <v>500</v>
      </c>
      <c r="C500" s="1728" t="s">
        <v>299</v>
      </c>
      <c r="D500" s="1727" t="s">
        <v>1080</v>
      </c>
    </row>
    <row r="501" spans="2:4" x14ac:dyDescent="0.2">
      <c r="B501" s="1729">
        <v>501</v>
      </c>
      <c r="C501" s="1728" t="s">
        <v>298</v>
      </c>
      <c r="D501" s="1727" t="s">
        <v>798</v>
      </c>
    </row>
    <row r="502" spans="2:4" x14ac:dyDescent="0.2">
      <c r="B502" s="1729">
        <v>502</v>
      </c>
      <c r="C502" s="1728" t="s">
        <v>297</v>
      </c>
      <c r="D502" s="1727" t="s">
        <v>1081</v>
      </c>
    </row>
    <row r="503" spans="2:4" x14ac:dyDescent="0.2">
      <c r="B503" s="1729">
        <v>503</v>
      </c>
      <c r="C503" s="1728" t="s">
        <v>296</v>
      </c>
      <c r="D503" s="1727" t="s">
        <v>782</v>
      </c>
    </row>
    <row r="504" spans="2:4" x14ac:dyDescent="0.2">
      <c r="B504" s="1729">
        <v>504</v>
      </c>
      <c r="C504" s="1728" t="s">
        <v>295</v>
      </c>
      <c r="D504" s="1727" t="s">
        <v>800</v>
      </c>
    </row>
    <row r="505" spans="2:4" x14ac:dyDescent="0.2">
      <c r="B505" s="1729">
        <v>505</v>
      </c>
      <c r="C505" s="1728" t="s">
        <v>294</v>
      </c>
      <c r="D505" s="1727" t="s">
        <v>801</v>
      </c>
    </row>
    <row r="506" spans="2:4" x14ac:dyDescent="0.2">
      <c r="B506" s="1729">
        <v>506</v>
      </c>
      <c r="C506" s="1728" t="s">
        <v>293</v>
      </c>
      <c r="D506" s="1727" t="s">
        <v>1082</v>
      </c>
    </row>
    <row r="507" spans="2:4" x14ac:dyDescent="0.2">
      <c r="B507" s="1729">
        <v>507</v>
      </c>
      <c r="C507" s="1728" t="s">
        <v>292</v>
      </c>
      <c r="D507" s="1727" t="s">
        <v>1083</v>
      </c>
    </row>
    <row r="508" spans="2:4" x14ac:dyDescent="0.2">
      <c r="B508" s="1729">
        <v>508</v>
      </c>
      <c r="C508" s="1728" t="s">
        <v>291</v>
      </c>
      <c r="D508" s="1727" t="s">
        <v>1072</v>
      </c>
    </row>
    <row r="509" spans="2:4" x14ac:dyDescent="0.2">
      <c r="B509" s="1729">
        <v>509</v>
      </c>
      <c r="C509" s="1728" t="s">
        <v>290</v>
      </c>
      <c r="D509" s="1727" t="s">
        <v>1073</v>
      </c>
    </row>
    <row r="510" spans="2:4" x14ac:dyDescent="0.2">
      <c r="B510" s="1729">
        <v>510</v>
      </c>
      <c r="C510" s="1728" t="s">
        <v>289</v>
      </c>
      <c r="D510" s="1727" t="s">
        <v>1074</v>
      </c>
    </row>
    <row r="511" spans="2:4" x14ac:dyDescent="0.2">
      <c r="B511" s="1729">
        <v>511</v>
      </c>
      <c r="C511" s="1728" t="s">
        <v>288</v>
      </c>
      <c r="D511" s="1727" t="s">
        <v>745</v>
      </c>
    </row>
    <row r="512" spans="2:4" x14ac:dyDescent="0.2">
      <c r="B512" s="1729">
        <v>512</v>
      </c>
      <c r="C512" s="1728" t="s">
        <v>287</v>
      </c>
      <c r="D512" s="1727" t="s">
        <v>746</v>
      </c>
    </row>
    <row r="513" spans="2:4" x14ac:dyDescent="0.2">
      <c r="B513" s="1729">
        <v>513</v>
      </c>
      <c r="C513" s="1728" t="s">
        <v>238</v>
      </c>
      <c r="D513" s="1727" t="s">
        <v>1084</v>
      </c>
    </row>
    <row r="514" spans="2:4" x14ac:dyDescent="0.2">
      <c r="B514" s="1729">
        <v>514</v>
      </c>
      <c r="C514" s="1728" t="s">
        <v>239</v>
      </c>
      <c r="D514" s="1727" t="s">
        <v>1085</v>
      </c>
    </row>
    <row r="515" spans="2:4" x14ac:dyDescent="0.2">
      <c r="B515" s="1729">
        <v>515</v>
      </c>
      <c r="C515" s="1728" t="s">
        <v>233</v>
      </c>
      <c r="D515" s="1727" t="s">
        <v>1086</v>
      </c>
    </row>
    <row r="516" spans="2:4" x14ac:dyDescent="0.2">
      <c r="B516" s="1729">
        <v>516</v>
      </c>
      <c r="C516" s="1728" t="s">
        <v>234</v>
      </c>
      <c r="D516" s="1727" t="s">
        <v>1087</v>
      </c>
    </row>
    <row r="517" spans="2:4" x14ac:dyDescent="0.2">
      <c r="B517" s="1729">
        <v>517</v>
      </c>
      <c r="C517" s="1728" t="s">
        <v>235</v>
      </c>
      <c r="D517" s="1727" t="s">
        <v>1088</v>
      </c>
    </row>
    <row r="518" spans="2:4" x14ac:dyDescent="0.2">
      <c r="B518" s="1729">
        <v>518</v>
      </c>
      <c r="C518" s="1728" t="s">
        <v>236</v>
      </c>
      <c r="D518" s="1727" t="s">
        <v>1089</v>
      </c>
    </row>
    <row r="519" spans="2:4" x14ac:dyDescent="0.2">
      <c r="B519" s="1729">
        <v>519</v>
      </c>
      <c r="C519" s="1728" t="s">
        <v>237</v>
      </c>
      <c r="D519" s="1727" t="s">
        <v>1090</v>
      </c>
    </row>
    <row r="520" spans="2:4" x14ac:dyDescent="0.2">
      <c r="B520" s="1729">
        <v>520</v>
      </c>
      <c r="C520" s="1728" t="s">
        <v>240</v>
      </c>
      <c r="D520" s="1727" t="s">
        <v>1091</v>
      </c>
    </row>
    <row r="521" spans="2:4" x14ac:dyDescent="0.2">
      <c r="B521" s="1729">
        <v>521</v>
      </c>
      <c r="C521" s="1728" t="s">
        <v>241</v>
      </c>
      <c r="D521" s="1727" t="s">
        <v>1092</v>
      </c>
    </row>
    <row r="522" spans="2:4" x14ac:dyDescent="0.2">
      <c r="B522" s="1729">
        <v>522</v>
      </c>
      <c r="C522" s="1728" t="s">
        <v>96</v>
      </c>
      <c r="D522" s="1727" t="s">
        <v>843</v>
      </c>
    </row>
    <row r="523" spans="2:4" x14ac:dyDescent="0.2">
      <c r="B523" s="1729">
        <v>523</v>
      </c>
      <c r="C523" s="1728" t="s">
        <v>97</v>
      </c>
      <c r="D523" s="1727" t="s">
        <v>844</v>
      </c>
    </row>
    <row r="524" spans="2:4" x14ac:dyDescent="0.2">
      <c r="B524" s="1729">
        <v>524</v>
      </c>
      <c r="C524" s="1728" t="s">
        <v>242</v>
      </c>
      <c r="D524" s="1727" t="s">
        <v>845</v>
      </c>
    </row>
    <row r="525" spans="2:4" x14ac:dyDescent="0.2">
      <c r="B525" s="1729">
        <v>525</v>
      </c>
      <c r="C525" s="1728" t="s">
        <v>98</v>
      </c>
      <c r="D525" s="1727" t="s">
        <v>846</v>
      </c>
    </row>
    <row r="526" spans="2:4" x14ac:dyDescent="0.2">
      <c r="B526" s="1729">
        <v>526</v>
      </c>
      <c r="C526" s="1728" t="s">
        <v>99</v>
      </c>
      <c r="D526" s="1727" t="s">
        <v>847</v>
      </c>
    </row>
    <row r="527" spans="2:4" x14ac:dyDescent="0.2">
      <c r="B527" s="1729">
        <v>527</v>
      </c>
      <c r="C527" s="1728" t="s">
        <v>100</v>
      </c>
      <c r="D527" s="1727" t="s">
        <v>848</v>
      </c>
    </row>
    <row r="528" spans="2:4" x14ac:dyDescent="0.2">
      <c r="B528" s="1729">
        <v>528</v>
      </c>
      <c r="C528" s="1728" t="s">
        <v>101</v>
      </c>
      <c r="D528" s="1727" t="s">
        <v>849</v>
      </c>
    </row>
    <row r="529" spans="2:4" x14ac:dyDescent="0.2">
      <c r="B529" s="1729">
        <v>529</v>
      </c>
      <c r="C529" s="1728" t="s">
        <v>102</v>
      </c>
      <c r="D529" s="1727" t="s">
        <v>850</v>
      </c>
    </row>
    <row r="530" spans="2:4" x14ac:dyDescent="0.2">
      <c r="B530" s="1729">
        <v>530</v>
      </c>
      <c r="C530" s="1728" t="s">
        <v>103</v>
      </c>
      <c r="D530" s="1727" t="s">
        <v>851</v>
      </c>
    </row>
    <row r="531" spans="2:4" x14ac:dyDescent="0.2">
      <c r="B531" s="1729">
        <v>531</v>
      </c>
      <c r="C531" s="1728" t="s">
        <v>104</v>
      </c>
      <c r="D531" s="1727" t="s">
        <v>852</v>
      </c>
    </row>
    <row r="532" spans="2:4" x14ac:dyDescent="0.2">
      <c r="B532" s="1729">
        <v>532</v>
      </c>
      <c r="C532" s="1728" t="s">
        <v>243</v>
      </c>
      <c r="D532" s="1727" t="s">
        <v>1093</v>
      </c>
    </row>
    <row r="533" spans="2:4" x14ac:dyDescent="0.2">
      <c r="B533" s="1729">
        <v>533</v>
      </c>
      <c r="C533" s="1728" t="s">
        <v>244</v>
      </c>
      <c r="D533" s="1727" t="s">
        <v>1094</v>
      </c>
    </row>
    <row r="534" spans="2:4" x14ac:dyDescent="0.2">
      <c r="B534" s="1729">
        <v>534</v>
      </c>
      <c r="C534" s="1728" t="s">
        <v>245</v>
      </c>
      <c r="D534" s="1727" t="s">
        <v>855</v>
      </c>
    </row>
    <row r="535" spans="2:4" x14ac:dyDescent="0.2">
      <c r="B535" s="1729">
        <v>535</v>
      </c>
      <c r="C535" s="1728" t="s">
        <v>246</v>
      </c>
      <c r="D535" s="1727" t="s">
        <v>1095</v>
      </c>
    </row>
    <row r="536" spans="2:4" x14ac:dyDescent="0.2">
      <c r="B536" s="1729">
        <v>536</v>
      </c>
      <c r="C536" s="1728" t="s">
        <v>247</v>
      </c>
      <c r="D536" s="1727" t="s">
        <v>1096</v>
      </c>
    </row>
    <row r="537" spans="2:4" x14ac:dyDescent="0.2">
      <c r="B537" s="1729">
        <v>537</v>
      </c>
      <c r="C537" s="1728" t="s">
        <v>248</v>
      </c>
      <c r="D537" s="1727" t="s">
        <v>1097</v>
      </c>
    </row>
    <row r="538" spans="2:4" x14ac:dyDescent="0.2">
      <c r="B538" s="1729">
        <v>538</v>
      </c>
      <c r="C538" s="1728" t="s">
        <v>249</v>
      </c>
      <c r="D538" s="1727" t="s">
        <v>1098</v>
      </c>
    </row>
    <row r="539" spans="2:4" x14ac:dyDescent="0.2">
      <c r="B539" s="1729">
        <v>539</v>
      </c>
      <c r="C539" s="1728" t="s">
        <v>250</v>
      </c>
      <c r="D539" s="1727" t="s">
        <v>1099</v>
      </c>
    </row>
    <row r="540" spans="2:4" x14ac:dyDescent="0.2">
      <c r="B540" s="1729">
        <v>540</v>
      </c>
      <c r="C540" s="1728" t="s">
        <v>251</v>
      </c>
      <c r="D540" s="1727" t="s">
        <v>1100</v>
      </c>
    </row>
    <row r="541" spans="2:4" x14ac:dyDescent="0.2">
      <c r="B541" s="1729">
        <v>541</v>
      </c>
      <c r="C541" s="1728" t="s">
        <v>252</v>
      </c>
      <c r="D541" s="1727" t="s">
        <v>1101</v>
      </c>
    </row>
    <row r="542" spans="2:4" x14ac:dyDescent="0.2">
      <c r="B542" s="1729">
        <v>542</v>
      </c>
      <c r="C542" s="1728" t="s">
        <v>130</v>
      </c>
      <c r="D542" s="1727" t="s">
        <v>1102</v>
      </c>
    </row>
    <row r="543" spans="2:4" x14ac:dyDescent="0.2">
      <c r="B543" s="1729">
        <v>543</v>
      </c>
      <c r="C543" s="1728" t="s">
        <v>253</v>
      </c>
      <c r="D543" s="1727" t="s">
        <v>1103</v>
      </c>
    </row>
    <row r="544" spans="2:4" x14ac:dyDescent="0.2">
      <c r="B544" s="1729">
        <v>544</v>
      </c>
      <c r="C544" s="1728" t="s">
        <v>114</v>
      </c>
      <c r="D544" s="1727" t="s">
        <v>781</v>
      </c>
    </row>
    <row r="545" spans="2:4" x14ac:dyDescent="0.2">
      <c r="B545" s="1729">
        <v>545</v>
      </c>
      <c r="C545" s="1728" t="s">
        <v>254</v>
      </c>
      <c r="D545" s="1727" t="s">
        <v>1104</v>
      </c>
    </row>
    <row r="546" spans="2:4" x14ac:dyDescent="0.2">
      <c r="B546" s="1729">
        <v>546</v>
      </c>
      <c r="C546" s="1728" t="s">
        <v>255</v>
      </c>
      <c r="D546" s="1727" t="s">
        <v>1105</v>
      </c>
    </row>
    <row r="547" spans="2:4" x14ac:dyDescent="0.2">
      <c r="B547" s="1729">
        <v>547</v>
      </c>
      <c r="C547" s="1728" t="s">
        <v>246</v>
      </c>
      <c r="D547" s="1727" t="s">
        <v>1095</v>
      </c>
    </row>
    <row r="548" spans="2:4" x14ac:dyDescent="0.2">
      <c r="B548" s="1729">
        <v>548</v>
      </c>
      <c r="C548" s="1728" t="s">
        <v>256</v>
      </c>
      <c r="D548" s="1727" t="s">
        <v>1106</v>
      </c>
    </row>
    <row r="549" spans="2:4" x14ac:dyDescent="0.2">
      <c r="B549" s="1729">
        <v>549</v>
      </c>
      <c r="C549" s="1728" t="s">
        <v>257</v>
      </c>
      <c r="D549" s="1727" t="s">
        <v>1107</v>
      </c>
    </row>
    <row r="550" spans="2:4" x14ac:dyDescent="0.2">
      <c r="B550" s="1729">
        <v>550</v>
      </c>
      <c r="C550" s="1728" t="s">
        <v>249</v>
      </c>
      <c r="D550" s="1727" t="s">
        <v>1098</v>
      </c>
    </row>
    <row r="551" spans="2:4" x14ac:dyDescent="0.2">
      <c r="B551" s="1729">
        <v>551</v>
      </c>
      <c r="C551" s="1728" t="s">
        <v>250</v>
      </c>
      <c r="D551" s="1727" t="s">
        <v>1099</v>
      </c>
    </row>
    <row r="552" spans="2:4" x14ac:dyDescent="0.2">
      <c r="B552" s="1729">
        <v>552</v>
      </c>
      <c r="C552" s="1728" t="s">
        <v>251</v>
      </c>
      <c r="D552" s="1727" t="s">
        <v>1100</v>
      </c>
    </row>
    <row r="553" spans="2:4" x14ac:dyDescent="0.2">
      <c r="B553" s="1729">
        <v>553</v>
      </c>
      <c r="C553" s="1728" t="s">
        <v>231</v>
      </c>
      <c r="D553" s="1727" t="s">
        <v>1108</v>
      </c>
    </row>
    <row r="554" spans="2:4" x14ac:dyDescent="0.2">
      <c r="B554" s="1729">
        <v>554</v>
      </c>
      <c r="C554" s="1728" t="s">
        <v>138</v>
      </c>
      <c r="D554" s="1727" t="s">
        <v>1109</v>
      </c>
    </row>
    <row r="555" spans="2:4" x14ac:dyDescent="0.2">
      <c r="B555" s="1729">
        <v>555</v>
      </c>
      <c r="C555" s="1728" t="s">
        <v>220</v>
      </c>
      <c r="D555" s="1727" t="s">
        <v>1110</v>
      </c>
    </row>
    <row r="556" spans="2:4" x14ac:dyDescent="0.2">
      <c r="B556" s="1729">
        <v>556</v>
      </c>
      <c r="C556" s="1728" t="s">
        <v>221</v>
      </c>
      <c r="D556" s="1727" t="s">
        <v>1111</v>
      </c>
    </row>
    <row r="557" spans="2:4" x14ac:dyDescent="0.2">
      <c r="B557" s="1729">
        <v>557</v>
      </c>
      <c r="C557" s="1728" t="s">
        <v>222</v>
      </c>
      <c r="D557" s="1727" t="s">
        <v>1112</v>
      </c>
    </row>
    <row r="558" spans="2:4" x14ac:dyDescent="0.2">
      <c r="B558" s="1729">
        <v>558</v>
      </c>
      <c r="C558" s="1728" t="s">
        <v>223</v>
      </c>
      <c r="D558" s="1727" t="s">
        <v>1113</v>
      </c>
    </row>
    <row r="559" spans="2:4" x14ac:dyDescent="0.2">
      <c r="B559" s="1729">
        <v>559</v>
      </c>
      <c r="C559" s="1728" t="s">
        <v>224</v>
      </c>
      <c r="D559" s="1727" t="s">
        <v>1114</v>
      </c>
    </row>
    <row r="560" spans="2:4" x14ac:dyDescent="0.2">
      <c r="B560" s="1729">
        <v>560</v>
      </c>
      <c r="C560" s="1728" t="s">
        <v>225</v>
      </c>
      <c r="D560" s="1727" t="s">
        <v>1115</v>
      </c>
    </row>
    <row r="561" spans="2:4" x14ac:dyDescent="0.2">
      <c r="B561" s="1729">
        <v>561</v>
      </c>
      <c r="C561" s="1728" t="s">
        <v>218</v>
      </c>
      <c r="D561" s="1727" t="s">
        <v>1063</v>
      </c>
    </row>
    <row r="562" spans="2:4" x14ac:dyDescent="0.2">
      <c r="B562" s="1729">
        <v>562</v>
      </c>
      <c r="C562" s="1728" t="s">
        <v>226</v>
      </c>
      <c r="D562" s="1727" t="s">
        <v>1116</v>
      </c>
    </row>
    <row r="563" spans="2:4" x14ac:dyDescent="0.2">
      <c r="B563" s="1729">
        <v>563</v>
      </c>
      <c r="C563" s="1728" t="s">
        <v>227</v>
      </c>
      <c r="D563" s="1727" t="s">
        <v>1117</v>
      </c>
    </row>
    <row r="564" spans="2:4" x14ac:dyDescent="0.2">
      <c r="B564" s="1729">
        <v>564</v>
      </c>
      <c r="C564" s="1728" t="s">
        <v>228</v>
      </c>
      <c r="D564" s="1727" t="s">
        <v>1118</v>
      </c>
    </row>
    <row r="565" spans="2:4" x14ac:dyDescent="0.2">
      <c r="B565" s="1729">
        <v>565</v>
      </c>
      <c r="C565" s="1728" t="s">
        <v>229</v>
      </c>
      <c r="D565" s="1727" t="s">
        <v>1119</v>
      </c>
    </row>
    <row r="566" spans="2:4" x14ac:dyDescent="0.2">
      <c r="B566" s="1729">
        <v>566</v>
      </c>
      <c r="C566" s="1728" t="s">
        <v>230</v>
      </c>
      <c r="D566" s="1727" t="s">
        <v>1120</v>
      </c>
    </row>
    <row r="567" spans="2:4" x14ac:dyDescent="0.2">
      <c r="B567" s="1729">
        <v>567</v>
      </c>
      <c r="C567" s="1728" t="s">
        <v>139</v>
      </c>
      <c r="D567" s="1727" t="s">
        <v>1121</v>
      </c>
    </row>
    <row r="568" spans="2:4" x14ac:dyDescent="0.2">
      <c r="B568" s="1729">
        <v>568</v>
      </c>
      <c r="C568" s="1728" t="s">
        <v>268</v>
      </c>
      <c r="D568" s="1727" t="s">
        <v>1122</v>
      </c>
    </row>
    <row r="569" spans="2:4" x14ac:dyDescent="0.2">
      <c r="B569" s="1729">
        <v>569</v>
      </c>
      <c r="C569" s="1728" t="s">
        <v>269</v>
      </c>
      <c r="D569" s="1727" t="s">
        <v>1123</v>
      </c>
    </row>
    <row r="570" spans="2:4" x14ac:dyDescent="0.2">
      <c r="B570" s="1729">
        <v>570</v>
      </c>
      <c r="C570" s="1728" t="s">
        <v>258</v>
      </c>
      <c r="D570" s="1727" t="s">
        <v>1124</v>
      </c>
    </row>
    <row r="571" spans="2:4" x14ac:dyDescent="0.2">
      <c r="B571" s="1729">
        <v>571</v>
      </c>
      <c r="C571" s="1728" t="s">
        <v>270</v>
      </c>
      <c r="D571" s="1727" t="s">
        <v>1125</v>
      </c>
    </row>
    <row r="572" spans="2:4" x14ac:dyDescent="0.2">
      <c r="B572" s="1729">
        <v>572</v>
      </c>
      <c r="C572" s="1728" t="s">
        <v>271</v>
      </c>
      <c r="D572" s="1727" t="s">
        <v>1126</v>
      </c>
    </row>
    <row r="573" spans="2:4" x14ac:dyDescent="0.2">
      <c r="B573" s="1729">
        <v>573</v>
      </c>
      <c r="C573" s="1728" t="s">
        <v>272</v>
      </c>
      <c r="D573" s="1727" t="s">
        <v>1127</v>
      </c>
    </row>
    <row r="574" spans="2:4" x14ac:dyDescent="0.2">
      <c r="B574" s="1729">
        <v>574</v>
      </c>
      <c r="C574" s="1728" t="s">
        <v>259</v>
      </c>
      <c r="D574" s="1727" t="s">
        <v>1128</v>
      </c>
    </row>
    <row r="575" spans="2:4" x14ac:dyDescent="0.2">
      <c r="B575" s="1729">
        <v>575</v>
      </c>
      <c r="C575" s="1728" t="s">
        <v>260</v>
      </c>
      <c r="D575" s="1727" t="s">
        <v>1129</v>
      </c>
    </row>
    <row r="576" spans="2:4" x14ac:dyDescent="0.2">
      <c r="B576" s="1729">
        <v>576</v>
      </c>
      <c r="C576" s="1728" t="s">
        <v>261</v>
      </c>
      <c r="D576" s="1727" t="s">
        <v>1130</v>
      </c>
    </row>
    <row r="577" spans="2:5" x14ac:dyDescent="0.2">
      <c r="B577" s="1729">
        <v>577</v>
      </c>
      <c r="C577" s="1728" t="s">
        <v>262</v>
      </c>
      <c r="D577" s="1727" t="s">
        <v>1131</v>
      </c>
    </row>
    <row r="578" spans="2:5" x14ac:dyDescent="0.2">
      <c r="B578" s="1729">
        <v>578</v>
      </c>
      <c r="C578" s="1728" t="s">
        <v>263</v>
      </c>
      <c r="D578" s="1727" t="s">
        <v>1132</v>
      </c>
    </row>
    <row r="579" spans="2:5" x14ac:dyDescent="0.2">
      <c r="B579" s="1729">
        <v>579</v>
      </c>
      <c r="C579" s="1728" t="s">
        <v>264</v>
      </c>
      <c r="D579" s="1727" t="s">
        <v>1133</v>
      </c>
    </row>
    <row r="580" spans="2:5" x14ac:dyDescent="0.2">
      <c r="B580" s="1729">
        <v>580</v>
      </c>
      <c r="C580" s="1728" t="s">
        <v>265</v>
      </c>
      <c r="D580" s="1727" t="s">
        <v>1134</v>
      </c>
      <c r="E580" s="1727" t="s">
        <v>273</v>
      </c>
    </row>
    <row r="581" spans="2:5" x14ac:dyDescent="0.2">
      <c r="B581" s="1729">
        <v>581</v>
      </c>
      <c r="C581" s="1728" t="s">
        <v>262</v>
      </c>
      <c r="D581" s="1727" t="s">
        <v>1131</v>
      </c>
      <c r="E581" s="1727" t="s">
        <v>1280</v>
      </c>
    </row>
    <row r="582" spans="2:5" x14ac:dyDescent="0.2">
      <c r="B582" s="1729">
        <v>582</v>
      </c>
      <c r="C582" s="1728" t="s">
        <v>263</v>
      </c>
      <c r="D582" s="1727" t="s">
        <v>1132</v>
      </c>
    </row>
    <row r="583" spans="2:5" x14ac:dyDescent="0.2">
      <c r="B583" s="1729">
        <v>583</v>
      </c>
      <c r="C583" s="1728" t="s">
        <v>262</v>
      </c>
      <c r="D583" s="1727" t="s">
        <v>1131</v>
      </c>
    </row>
    <row r="584" spans="2:5" x14ac:dyDescent="0.2">
      <c r="B584" s="1729">
        <v>584</v>
      </c>
      <c r="C584" s="1728" t="s">
        <v>263</v>
      </c>
      <c r="D584" s="1727" t="s">
        <v>1132</v>
      </c>
    </row>
    <row r="585" spans="2:5" x14ac:dyDescent="0.2">
      <c r="B585" s="1729">
        <v>585</v>
      </c>
      <c r="C585" s="1728" t="s">
        <v>266</v>
      </c>
      <c r="D585" s="1727" t="s">
        <v>1135</v>
      </c>
    </row>
    <row r="586" spans="2:5" x14ac:dyDescent="0.2">
      <c r="B586" s="1729">
        <v>586</v>
      </c>
      <c r="C586" s="1728" t="s">
        <v>38</v>
      </c>
      <c r="D586" s="1727" t="s">
        <v>1136</v>
      </c>
    </row>
    <row r="587" spans="2:5" x14ac:dyDescent="0.2">
      <c r="B587" s="1729">
        <v>587</v>
      </c>
      <c r="C587" s="1731" t="s">
        <v>673</v>
      </c>
      <c r="D587" s="1727" t="s">
        <v>1137</v>
      </c>
    </row>
    <row r="588" spans="2:5" x14ac:dyDescent="0.2">
      <c r="B588" s="1729">
        <v>588</v>
      </c>
      <c r="C588" s="1728" t="s">
        <v>274</v>
      </c>
      <c r="D588" s="1727" t="s">
        <v>1138</v>
      </c>
    </row>
    <row r="589" spans="2:5" x14ac:dyDescent="0.2">
      <c r="B589" s="1729">
        <v>589</v>
      </c>
      <c r="C589" s="1728" t="s">
        <v>275</v>
      </c>
      <c r="D589" s="1727" t="s">
        <v>1139</v>
      </c>
    </row>
    <row r="590" spans="2:5" x14ac:dyDescent="0.2">
      <c r="B590" s="1729">
        <v>590</v>
      </c>
      <c r="C590" s="1728" t="s">
        <v>276</v>
      </c>
      <c r="D590" s="1727" t="s">
        <v>1140</v>
      </c>
    </row>
    <row r="591" spans="2:5" x14ac:dyDescent="0.2">
      <c r="B591" s="1729">
        <v>591</v>
      </c>
      <c r="C591" s="1728" t="s">
        <v>277</v>
      </c>
      <c r="D591" s="1727" t="s">
        <v>1141</v>
      </c>
    </row>
    <row r="592" spans="2:5" x14ac:dyDescent="0.2">
      <c r="B592" s="1729">
        <v>592</v>
      </c>
      <c r="C592" s="1728" t="s">
        <v>278</v>
      </c>
      <c r="D592" s="1727" t="s">
        <v>1142</v>
      </c>
    </row>
    <row r="593" spans="2:5" x14ac:dyDescent="0.2">
      <c r="B593" s="1729">
        <v>593</v>
      </c>
      <c r="C593" s="1728" t="s">
        <v>279</v>
      </c>
      <c r="D593" s="1727" t="s">
        <v>1143</v>
      </c>
    </row>
    <row r="594" spans="2:5" x14ac:dyDescent="0.2">
      <c r="B594" s="1729">
        <v>594</v>
      </c>
      <c r="C594" s="1728" t="s">
        <v>160</v>
      </c>
      <c r="D594" s="1727" t="s">
        <v>895</v>
      </c>
    </row>
    <row r="595" spans="2:5" x14ac:dyDescent="0.2">
      <c r="B595" s="1729">
        <v>595</v>
      </c>
      <c r="C595" s="1728" t="s">
        <v>131</v>
      </c>
      <c r="D595" s="1727" t="s">
        <v>1144</v>
      </c>
    </row>
    <row r="596" spans="2:5" x14ac:dyDescent="0.2">
      <c r="B596" s="1729">
        <v>596</v>
      </c>
      <c r="C596" s="1728" t="s">
        <v>280</v>
      </c>
      <c r="D596" s="1727" t="s">
        <v>1145</v>
      </c>
    </row>
    <row r="597" spans="2:5" x14ac:dyDescent="0.2">
      <c r="B597" s="1729">
        <v>597</v>
      </c>
      <c r="C597" s="1728" t="s">
        <v>161</v>
      </c>
      <c r="D597" s="1727" t="s">
        <v>1146</v>
      </c>
    </row>
    <row r="598" spans="2:5" x14ac:dyDescent="0.2">
      <c r="B598" s="1729">
        <v>598</v>
      </c>
      <c r="C598" s="1728" t="s">
        <v>71</v>
      </c>
      <c r="D598" s="1727" t="s">
        <v>1209</v>
      </c>
    </row>
    <row r="599" spans="2:5" x14ac:dyDescent="0.2">
      <c r="B599" s="1729">
        <v>599</v>
      </c>
      <c r="C599" s="1728" t="s">
        <v>132</v>
      </c>
      <c r="D599" s="1727" t="s">
        <v>1147</v>
      </c>
    </row>
    <row r="600" spans="2:5" x14ac:dyDescent="0.2">
      <c r="B600" s="1729">
        <v>600</v>
      </c>
      <c r="C600" s="1728" t="s">
        <v>82</v>
      </c>
      <c r="D600" s="1727" t="s">
        <v>1047</v>
      </c>
    </row>
    <row r="601" spans="2:5" x14ac:dyDescent="0.2">
      <c r="B601" s="1729">
        <v>601</v>
      </c>
      <c r="C601" s="1728" t="s">
        <v>48</v>
      </c>
      <c r="D601" s="1727" t="s">
        <v>1048</v>
      </c>
    </row>
    <row r="602" spans="2:5" x14ac:dyDescent="0.2">
      <c r="B602" s="1729">
        <v>602</v>
      </c>
      <c r="C602" s="1728" t="s">
        <v>1</v>
      </c>
      <c r="D602" s="1727" t="s">
        <v>1049</v>
      </c>
    </row>
    <row r="603" spans="2:5" x14ac:dyDescent="0.2">
      <c r="B603" s="1729">
        <v>603</v>
      </c>
      <c r="C603" s="1728" t="s">
        <v>35</v>
      </c>
      <c r="D603" s="1727" t="s">
        <v>1148</v>
      </c>
    </row>
    <row r="604" spans="2:5" x14ac:dyDescent="0.2">
      <c r="B604" s="1729">
        <v>604</v>
      </c>
      <c r="C604" s="1728" t="s">
        <v>133</v>
      </c>
      <c r="D604" s="1727" t="s">
        <v>1149</v>
      </c>
    </row>
    <row r="605" spans="2:5" x14ac:dyDescent="0.2">
      <c r="B605" s="1729">
        <v>605</v>
      </c>
      <c r="C605" s="1728" t="s">
        <v>159</v>
      </c>
      <c r="D605" s="1727" t="s">
        <v>1150</v>
      </c>
    </row>
    <row r="606" spans="2:5" x14ac:dyDescent="0.2">
      <c r="B606" s="1729">
        <v>606</v>
      </c>
      <c r="C606" s="1728" t="s">
        <v>39</v>
      </c>
      <c r="D606" s="1727" t="s">
        <v>834</v>
      </c>
    </row>
    <row r="607" spans="2:5" x14ac:dyDescent="0.2">
      <c r="B607" s="1729">
        <v>607</v>
      </c>
      <c r="C607" s="1728" t="s">
        <v>139</v>
      </c>
      <c r="D607" s="1727" t="s">
        <v>1121</v>
      </c>
      <c r="E607" s="1727" t="s">
        <v>283</v>
      </c>
    </row>
    <row r="608" spans="2:5" x14ac:dyDescent="0.2">
      <c r="B608" s="1729">
        <v>608</v>
      </c>
      <c r="C608" s="1728" t="s">
        <v>134</v>
      </c>
      <c r="D608" s="1727" t="s">
        <v>1151</v>
      </c>
      <c r="E608" s="1727" t="s">
        <v>1281</v>
      </c>
    </row>
    <row r="609" spans="2:5" x14ac:dyDescent="0.2">
      <c r="B609" s="1729">
        <v>609</v>
      </c>
      <c r="C609" s="1728" t="s">
        <v>135</v>
      </c>
      <c r="D609" s="1727" t="s">
        <v>1152</v>
      </c>
    </row>
    <row r="610" spans="2:5" x14ac:dyDescent="0.2">
      <c r="B610" s="1729">
        <v>610</v>
      </c>
      <c r="C610" s="1728" t="s">
        <v>136</v>
      </c>
      <c r="D610" s="1727" t="s">
        <v>1153</v>
      </c>
      <c r="E610" s="1727" t="s">
        <v>282</v>
      </c>
    </row>
    <row r="611" spans="2:5" x14ac:dyDescent="0.2">
      <c r="B611" s="1729">
        <v>611</v>
      </c>
      <c r="C611" s="1728" t="s">
        <v>137</v>
      </c>
      <c r="D611" s="1727" t="s">
        <v>1154</v>
      </c>
      <c r="E611" s="1727" t="s">
        <v>1282</v>
      </c>
    </row>
    <row r="612" spans="2:5" x14ac:dyDescent="0.2">
      <c r="B612" s="1729">
        <v>612</v>
      </c>
      <c r="C612" s="1728" t="s">
        <v>281</v>
      </c>
      <c r="D612" s="1727" t="s">
        <v>1155</v>
      </c>
    </row>
    <row r="613" spans="2:5" x14ac:dyDescent="0.2">
      <c r="B613" s="1729">
        <v>613</v>
      </c>
      <c r="C613" s="1728" t="s">
        <v>38</v>
      </c>
      <c r="D613" s="1727" t="s">
        <v>768</v>
      </c>
    </row>
    <row r="614" spans="2:5" x14ac:dyDescent="0.2">
      <c r="B614" s="1729">
        <v>614</v>
      </c>
      <c r="C614" s="1731" t="s">
        <v>672</v>
      </c>
      <c r="D614" s="1727" t="s">
        <v>1156</v>
      </c>
    </row>
    <row r="615" spans="2:5" x14ac:dyDescent="0.2">
      <c r="B615" s="1729">
        <v>615</v>
      </c>
      <c r="C615" s="1728" t="s">
        <v>42</v>
      </c>
      <c r="D615" s="1727" t="s">
        <v>1157</v>
      </c>
    </row>
    <row r="616" spans="2:5" x14ac:dyDescent="0.2">
      <c r="B616" s="1729">
        <v>616</v>
      </c>
      <c r="C616" s="1728" t="s">
        <v>44</v>
      </c>
      <c r="D616" s="1727" t="s">
        <v>1158</v>
      </c>
    </row>
    <row r="617" spans="2:5" x14ac:dyDescent="0.2">
      <c r="B617" s="1729">
        <v>617</v>
      </c>
      <c r="C617" s="1728" t="s">
        <v>40</v>
      </c>
      <c r="D617" s="1727" t="s">
        <v>1159</v>
      </c>
    </row>
    <row r="618" spans="2:5" x14ac:dyDescent="0.2">
      <c r="B618" s="1729">
        <v>618</v>
      </c>
      <c r="C618" s="1728" t="s">
        <v>1349</v>
      </c>
      <c r="D618" s="1727" t="s">
        <v>1350</v>
      </c>
      <c r="E618" s="1727" t="s">
        <v>1348</v>
      </c>
    </row>
    <row r="619" spans="2:5" x14ac:dyDescent="0.2">
      <c r="B619" s="1729">
        <v>619</v>
      </c>
      <c r="C619" s="1728" t="s">
        <v>110</v>
      </c>
      <c r="D619" s="1727" t="s">
        <v>1160</v>
      </c>
      <c r="E619" s="1727" t="s">
        <v>1283</v>
      </c>
    </row>
    <row r="620" spans="2:5" x14ac:dyDescent="0.2">
      <c r="B620" s="1729">
        <v>620</v>
      </c>
      <c r="C620" s="1728" t="s">
        <v>39</v>
      </c>
      <c r="D620" s="1727" t="s">
        <v>834</v>
      </c>
    </row>
    <row r="621" spans="2:5" x14ac:dyDescent="0.2">
      <c r="B621" s="1729">
        <v>621</v>
      </c>
      <c r="C621" s="1728" t="s">
        <v>43</v>
      </c>
      <c r="D621" s="1727" t="s">
        <v>1161</v>
      </c>
      <c r="E621" s="1727" t="s">
        <v>174</v>
      </c>
    </row>
    <row r="622" spans="2:5" x14ac:dyDescent="0.2">
      <c r="B622" s="1729">
        <v>622</v>
      </c>
      <c r="C622" s="1728" t="s">
        <v>46</v>
      </c>
      <c r="D622" s="1727" t="s">
        <v>1162</v>
      </c>
      <c r="E622" s="1727" t="s">
        <v>1297</v>
      </c>
    </row>
    <row r="623" spans="2:5" x14ac:dyDescent="0.2">
      <c r="B623" s="1729">
        <v>623</v>
      </c>
      <c r="C623" s="1728" t="s">
        <v>45</v>
      </c>
      <c r="D623" s="1727" t="s">
        <v>1163</v>
      </c>
    </row>
    <row r="624" spans="2:5" x14ac:dyDescent="0.2">
      <c r="B624" s="1729">
        <v>624</v>
      </c>
      <c r="C624" s="1728" t="s">
        <v>115</v>
      </c>
      <c r="D624" s="1727" t="s">
        <v>1164</v>
      </c>
      <c r="E624" s="1727" t="s">
        <v>671</v>
      </c>
    </row>
    <row r="625" spans="2:5" x14ac:dyDescent="0.2">
      <c r="B625" s="1729">
        <v>625</v>
      </c>
      <c r="C625" s="1728" t="s">
        <v>117</v>
      </c>
      <c r="D625" s="1727" t="s">
        <v>1165</v>
      </c>
      <c r="E625" s="1727" t="s">
        <v>1284</v>
      </c>
    </row>
    <row r="626" spans="2:5" x14ac:dyDescent="0.2">
      <c r="B626" s="1729">
        <v>626</v>
      </c>
      <c r="C626" s="1728" t="s">
        <v>111</v>
      </c>
      <c r="D626" s="1727" t="s">
        <v>1166</v>
      </c>
    </row>
    <row r="627" spans="2:5" x14ac:dyDescent="0.2">
      <c r="B627" s="1729">
        <v>627</v>
      </c>
      <c r="C627" s="1728" t="s">
        <v>38</v>
      </c>
      <c r="D627" s="1727" t="s">
        <v>768</v>
      </c>
    </row>
    <row r="628" spans="2:5" x14ac:dyDescent="0.2">
      <c r="B628" s="1729">
        <v>628</v>
      </c>
      <c r="C628" s="1728" t="s">
        <v>670</v>
      </c>
      <c r="D628" s="1727" t="s">
        <v>669</v>
      </c>
    </row>
    <row r="629" spans="2:5" x14ac:dyDescent="0.2">
      <c r="B629" s="1729">
        <v>629</v>
      </c>
      <c r="C629" s="1728" t="s">
        <v>668</v>
      </c>
      <c r="D629" s="1727" t="s">
        <v>667</v>
      </c>
    </row>
    <row r="630" spans="2:5" x14ac:dyDescent="0.2">
      <c r="B630" s="1729">
        <v>630</v>
      </c>
      <c r="C630" s="1731" t="s">
        <v>666</v>
      </c>
      <c r="D630" s="1727" t="s">
        <v>1167</v>
      </c>
    </row>
    <row r="631" spans="2:5" x14ac:dyDescent="0.2">
      <c r="B631" s="1729">
        <v>631</v>
      </c>
      <c r="C631" s="1728" t="s">
        <v>50</v>
      </c>
      <c r="D631" s="1727" t="s">
        <v>1168</v>
      </c>
    </row>
    <row r="632" spans="2:5" x14ac:dyDescent="0.2">
      <c r="B632" s="1729">
        <v>632</v>
      </c>
      <c r="C632" s="1728" t="s">
        <v>51</v>
      </c>
      <c r="D632" s="1727" t="s">
        <v>1169</v>
      </c>
    </row>
    <row r="633" spans="2:5" x14ac:dyDescent="0.2">
      <c r="B633" s="1729">
        <v>633</v>
      </c>
      <c r="C633" s="1728" t="s">
        <v>108</v>
      </c>
      <c r="D633" s="1727" t="s">
        <v>1170</v>
      </c>
    </row>
    <row r="634" spans="2:5" x14ac:dyDescent="0.2">
      <c r="B634" s="1729">
        <v>634</v>
      </c>
      <c r="C634" s="1728" t="s">
        <v>84</v>
      </c>
      <c r="D634" s="1727" t="s">
        <v>1171</v>
      </c>
    </row>
    <row r="635" spans="2:5" x14ac:dyDescent="0.2">
      <c r="B635" s="1729">
        <v>635</v>
      </c>
      <c r="C635" s="1728" t="s">
        <v>52</v>
      </c>
      <c r="D635" s="1727" t="s">
        <v>1172</v>
      </c>
    </row>
    <row r="636" spans="2:5" x14ac:dyDescent="0.2">
      <c r="B636" s="1729">
        <v>636</v>
      </c>
      <c r="C636" s="1728" t="s">
        <v>83</v>
      </c>
      <c r="D636" s="1727" t="s">
        <v>1173</v>
      </c>
    </row>
    <row r="637" spans="2:5" x14ac:dyDescent="0.2">
      <c r="B637" s="1729">
        <v>637</v>
      </c>
      <c r="C637" s="1728" t="s">
        <v>53</v>
      </c>
      <c r="D637" s="1727" t="s">
        <v>1174</v>
      </c>
    </row>
    <row r="638" spans="2:5" x14ac:dyDescent="0.2">
      <c r="B638" s="1729">
        <v>638</v>
      </c>
      <c r="C638" s="1728" t="s">
        <v>54</v>
      </c>
      <c r="D638" s="1727" t="s">
        <v>1175</v>
      </c>
    </row>
    <row r="639" spans="2:5" x14ac:dyDescent="0.2">
      <c r="B639" s="1729">
        <v>639</v>
      </c>
      <c r="C639" s="1728" t="s">
        <v>91</v>
      </c>
      <c r="D639" s="1727" t="s">
        <v>1176</v>
      </c>
      <c r="E639" s="1727" t="s">
        <v>126</v>
      </c>
    </row>
    <row r="640" spans="2:5" x14ac:dyDescent="0.2">
      <c r="B640" s="1729">
        <v>640</v>
      </c>
      <c r="C640" s="1728" t="s">
        <v>116</v>
      </c>
      <c r="D640" s="1727" t="s">
        <v>1177</v>
      </c>
      <c r="E640" s="1727" t="s">
        <v>1285</v>
      </c>
    </row>
    <row r="641" spans="2:5" x14ac:dyDescent="0.2">
      <c r="B641" s="1729">
        <v>641</v>
      </c>
      <c r="C641" s="1728" t="s">
        <v>55</v>
      </c>
      <c r="D641" s="1727" t="s">
        <v>1178</v>
      </c>
    </row>
    <row r="642" spans="2:5" x14ac:dyDescent="0.2">
      <c r="B642" s="1729">
        <v>642</v>
      </c>
      <c r="C642" s="1728" t="s">
        <v>119</v>
      </c>
      <c r="D642" s="1727" t="s">
        <v>1179</v>
      </c>
      <c r="E642" s="1727" t="s">
        <v>1347</v>
      </c>
    </row>
    <row r="643" spans="2:5" x14ac:dyDescent="0.2">
      <c r="B643" s="1729">
        <v>643</v>
      </c>
      <c r="C643" s="1728" t="s">
        <v>85</v>
      </c>
      <c r="D643" s="1727" t="s">
        <v>1335</v>
      </c>
      <c r="E643" s="1727" t="s">
        <v>1286</v>
      </c>
    </row>
    <row r="644" spans="2:5" x14ac:dyDescent="0.2">
      <c r="B644" s="1729">
        <v>644</v>
      </c>
      <c r="C644" s="1728" t="s">
        <v>120</v>
      </c>
      <c r="D644" s="1727" t="s">
        <v>1180</v>
      </c>
    </row>
    <row r="645" spans="2:5" x14ac:dyDescent="0.2">
      <c r="B645" s="1729">
        <v>645</v>
      </c>
      <c r="C645" s="1728" t="s">
        <v>56</v>
      </c>
      <c r="D645" s="1727" t="s">
        <v>1181</v>
      </c>
      <c r="E645" s="1727" t="s">
        <v>124</v>
      </c>
    </row>
    <row r="646" spans="2:5" x14ac:dyDescent="0.2">
      <c r="B646" s="1729">
        <v>646</v>
      </c>
      <c r="C646" s="1728" t="s">
        <v>86</v>
      </c>
      <c r="D646" s="1727" t="s">
        <v>1182</v>
      </c>
      <c r="E646" s="1727" t="s">
        <v>1287</v>
      </c>
    </row>
    <row r="647" spans="2:5" x14ac:dyDescent="0.2">
      <c r="B647" s="1729">
        <v>647</v>
      </c>
      <c r="C647" s="1728" t="s">
        <v>118</v>
      </c>
      <c r="D647" s="1727" t="s">
        <v>1183</v>
      </c>
    </row>
    <row r="648" spans="2:5" x14ac:dyDescent="0.2">
      <c r="B648" s="1729">
        <v>648</v>
      </c>
      <c r="C648" s="1728" t="s">
        <v>125</v>
      </c>
      <c r="D648" s="1727" t="s">
        <v>1184</v>
      </c>
      <c r="E648" s="1727" t="s">
        <v>1393</v>
      </c>
    </row>
    <row r="649" spans="2:5" x14ac:dyDescent="0.2">
      <c r="B649" s="1729">
        <v>649</v>
      </c>
      <c r="C649" s="1728" t="s">
        <v>38</v>
      </c>
      <c r="D649" s="1727" t="s">
        <v>768</v>
      </c>
      <c r="E649" s="1727" t="s">
        <v>1394</v>
      </c>
    </row>
    <row r="650" spans="2:5" x14ac:dyDescent="0.2">
      <c r="B650" s="1729">
        <v>650</v>
      </c>
      <c r="C650" s="1731" t="s">
        <v>665</v>
      </c>
      <c r="D650" s="1727" t="s">
        <v>1185</v>
      </c>
    </row>
    <row r="651" spans="2:5" x14ac:dyDescent="0.2">
      <c r="B651" s="1729">
        <v>651</v>
      </c>
      <c r="C651" s="1728" t="s">
        <v>1351</v>
      </c>
      <c r="D651" s="1727" t="s">
        <v>1352</v>
      </c>
      <c r="E651" s="1727" t="s">
        <v>1339</v>
      </c>
    </row>
    <row r="652" spans="2:5" x14ac:dyDescent="0.2">
      <c r="B652" s="1729">
        <v>652</v>
      </c>
      <c r="C652" s="1728" t="s">
        <v>80</v>
      </c>
      <c r="D652" s="1727" t="s">
        <v>1186</v>
      </c>
      <c r="E652" s="1727" t="s">
        <v>1340</v>
      </c>
    </row>
    <row r="653" spans="2:5" x14ac:dyDescent="0.2">
      <c r="B653" s="1729">
        <v>653</v>
      </c>
      <c r="C653" s="1728" t="s">
        <v>60</v>
      </c>
      <c r="D653" s="1727" t="s">
        <v>1187</v>
      </c>
    </row>
    <row r="654" spans="2:5" x14ac:dyDescent="0.2">
      <c r="B654" s="1729">
        <v>654</v>
      </c>
      <c r="C654" s="1728" t="s">
        <v>61</v>
      </c>
      <c r="D654" s="1727" t="s">
        <v>1188</v>
      </c>
    </row>
    <row r="655" spans="2:5" x14ac:dyDescent="0.2">
      <c r="B655" s="1729">
        <v>655</v>
      </c>
      <c r="C655" s="1728" t="s">
        <v>62</v>
      </c>
      <c r="D655" s="1727" t="s">
        <v>1189</v>
      </c>
    </row>
    <row r="656" spans="2:5" x14ac:dyDescent="0.2">
      <c r="B656" s="1729">
        <v>656</v>
      </c>
      <c r="C656" s="1728" t="s">
        <v>64</v>
      </c>
      <c r="D656" s="1727" t="s">
        <v>1190</v>
      </c>
    </row>
    <row r="657" spans="2:4" x14ac:dyDescent="0.2">
      <c r="B657" s="1729">
        <v>657</v>
      </c>
      <c r="C657" s="1728" t="s">
        <v>65</v>
      </c>
      <c r="D657" s="1727" t="s">
        <v>1191</v>
      </c>
    </row>
    <row r="658" spans="2:4" x14ac:dyDescent="0.2">
      <c r="B658" s="1729">
        <v>658</v>
      </c>
      <c r="C658" s="1728" t="s">
        <v>63</v>
      </c>
      <c r="D658" s="1727" t="s">
        <v>1192</v>
      </c>
    </row>
    <row r="659" spans="2:4" x14ac:dyDescent="0.2">
      <c r="B659" s="1729">
        <v>659</v>
      </c>
      <c r="C659" s="1728" t="s">
        <v>66</v>
      </c>
      <c r="D659" s="1727" t="s">
        <v>1193</v>
      </c>
    </row>
    <row r="660" spans="2:4" x14ac:dyDescent="0.2">
      <c r="B660" s="1729">
        <v>660</v>
      </c>
      <c r="C660" s="1728" t="s">
        <v>87</v>
      </c>
      <c r="D660" s="1727" t="s">
        <v>1194</v>
      </c>
    </row>
    <row r="661" spans="2:4" x14ac:dyDescent="0.2">
      <c r="B661" s="1729">
        <v>661</v>
      </c>
      <c r="C661" s="1728" t="s">
        <v>92</v>
      </c>
      <c r="D661" s="1727" t="s">
        <v>1195</v>
      </c>
    </row>
    <row r="662" spans="2:4" x14ac:dyDescent="0.2">
      <c r="B662" s="1729">
        <v>662</v>
      </c>
      <c r="C662" s="1728" t="s">
        <v>93</v>
      </c>
      <c r="D662" s="1727" t="s">
        <v>1196</v>
      </c>
    </row>
    <row r="663" spans="2:4" x14ac:dyDescent="0.2">
      <c r="B663" s="1729">
        <v>663</v>
      </c>
      <c r="C663" s="1728" t="s">
        <v>94</v>
      </c>
      <c r="D663" s="1727" t="s">
        <v>1197</v>
      </c>
    </row>
    <row r="664" spans="2:4" x14ac:dyDescent="0.2">
      <c r="B664" s="1729">
        <v>664</v>
      </c>
      <c r="C664" s="1728" t="s">
        <v>67</v>
      </c>
      <c r="D664" s="1727" t="s">
        <v>1198</v>
      </c>
    </row>
    <row r="665" spans="2:4" x14ac:dyDescent="0.2">
      <c r="B665" s="1729">
        <v>665</v>
      </c>
      <c r="C665" s="1728" t="s">
        <v>459</v>
      </c>
      <c r="D665" s="1727" t="s">
        <v>458</v>
      </c>
    </row>
    <row r="666" spans="2:4" x14ac:dyDescent="0.2">
      <c r="B666" s="1729">
        <v>666</v>
      </c>
      <c r="C666" s="1728" t="s">
        <v>39</v>
      </c>
      <c r="D666" s="1727" t="s">
        <v>1199</v>
      </c>
    </row>
    <row r="667" spans="2:4" x14ac:dyDescent="0.2">
      <c r="B667" s="1729">
        <v>667</v>
      </c>
      <c r="C667" s="1728" t="s">
        <v>81</v>
      </c>
      <c r="D667" s="1727" t="s">
        <v>1200</v>
      </c>
    </row>
    <row r="668" spans="2:4" x14ac:dyDescent="0.2">
      <c r="B668" s="1729">
        <v>668</v>
      </c>
      <c r="C668" s="1728" t="s">
        <v>38</v>
      </c>
      <c r="D668" s="1727" t="s">
        <v>768</v>
      </c>
    </row>
    <row r="669" spans="2:4" x14ac:dyDescent="0.2">
      <c r="B669" s="1729">
        <v>669</v>
      </c>
      <c r="C669" s="1728" t="s">
        <v>58</v>
      </c>
      <c r="D669" s="1727" t="s">
        <v>1201</v>
      </c>
    </row>
    <row r="670" spans="2:4" x14ac:dyDescent="0.2">
      <c r="B670" s="1729">
        <v>670</v>
      </c>
      <c r="C670" s="1728" t="s">
        <v>57</v>
      </c>
      <c r="D670" s="1727" t="s">
        <v>1202</v>
      </c>
    </row>
    <row r="671" spans="2:4" x14ac:dyDescent="0.2">
      <c r="B671" s="1729">
        <v>671</v>
      </c>
      <c r="C671" s="1728" t="s">
        <v>674</v>
      </c>
      <c r="D671" s="1727" t="s">
        <v>674</v>
      </c>
    </row>
    <row r="672" spans="2:4" x14ac:dyDescent="0.2">
      <c r="B672" s="1729">
        <v>672</v>
      </c>
      <c r="C672" s="1728" t="s">
        <v>675</v>
      </c>
      <c r="D672" s="1727" t="s">
        <v>1203</v>
      </c>
    </row>
    <row r="673" spans="2:4" x14ac:dyDescent="0.2">
      <c r="B673" s="1729">
        <v>673</v>
      </c>
      <c r="C673" s="1731" t="s">
        <v>664</v>
      </c>
      <c r="D673" s="1727" t="s">
        <v>1204</v>
      </c>
    </row>
    <row r="674" spans="2:4" x14ac:dyDescent="0.2">
      <c r="B674" s="1729">
        <v>674</v>
      </c>
      <c r="C674" s="1728" t="s">
        <v>68</v>
      </c>
      <c r="D674" s="1727" t="s">
        <v>1205</v>
      </c>
    </row>
    <row r="675" spans="2:4" x14ac:dyDescent="0.2">
      <c r="B675" s="1729">
        <v>675</v>
      </c>
      <c r="C675" s="1728" t="s">
        <v>59</v>
      </c>
      <c r="D675" s="1727" t="s">
        <v>1186</v>
      </c>
    </row>
    <row r="676" spans="2:4" x14ac:dyDescent="0.2">
      <c r="B676" s="1729">
        <v>676</v>
      </c>
      <c r="C676" s="1728" t="s">
        <v>88</v>
      </c>
      <c r="D676" s="1727" t="s">
        <v>1206</v>
      </c>
    </row>
    <row r="677" spans="2:4" x14ac:dyDescent="0.2">
      <c r="B677" s="1729">
        <v>677</v>
      </c>
      <c r="C677" s="1728" t="s">
        <v>69</v>
      </c>
      <c r="D677" s="1727" t="s">
        <v>1207</v>
      </c>
    </row>
    <row r="678" spans="2:4" x14ac:dyDescent="0.2">
      <c r="B678" s="1729">
        <v>678</v>
      </c>
      <c r="C678" s="1728" t="s">
        <v>62</v>
      </c>
      <c r="D678" s="1727" t="s">
        <v>1189</v>
      </c>
    </row>
    <row r="679" spans="2:4" x14ac:dyDescent="0.2">
      <c r="B679" s="1729">
        <v>679</v>
      </c>
      <c r="C679" s="1728" t="s">
        <v>65</v>
      </c>
      <c r="D679" s="1727" t="s">
        <v>1191</v>
      </c>
    </row>
    <row r="680" spans="2:4" x14ac:dyDescent="0.2">
      <c r="B680" s="1729">
        <v>680</v>
      </c>
      <c r="C680" s="1728" t="s">
        <v>66</v>
      </c>
      <c r="D680" s="1727" t="s">
        <v>1193</v>
      </c>
    </row>
    <row r="681" spans="2:4" x14ac:dyDescent="0.2">
      <c r="B681" s="1729">
        <v>681</v>
      </c>
      <c r="C681" s="1728" t="s">
        <v>70</v>
      </c>
      <c r="D681" s="1727" t="s">
        <v>1208</v>
      </c>
    </row>
    <row r="682" spans="2:4" x14ac:dyDescent="0.2">
      <c r="B682" s="1729">
        <v>682</v>
      </c>
      <c r="C682" s="1728" t="s">
        <v>71</v>
      </c>
      <c r="D682" s="1727" t="s">
        <v>1209</v>
      </c>
    </row>
    <row r="683" spans="2:4" x14ac:dyDescent="0.2">
      <c r="B683" s="1729">
        <v>683</v>
      </c>
      <c r="C683" s="1728" t="s">
        <v>41</v>
      </c>
      <c r="D683" s="1727" t="s">
        <v>1210</v>
      </c>
    </row>
    <row r="684" spans="2:4" x14ac:dyDescent="0.2">
      <c r="B684" s="1729">
        <v>684</v>
      </c>
      <c r="C684" s="1728" t="s">
        <v>36</v>
      </c>
      <c r="D684" s="1727" t="s">
        <v>1211</v>
      </c>
    </row>
    <row r="685" spans="2:4" x14ac:dyDescent="0.2">
      <c r="B685" s="1729">
        <v>685</v>
      </c>
      <c r="C685" s="1728" t="s">
        <v>75</v>
      </c>
      <c r="D685" s="1727" t="s">
        <v>1212</v>
      </c>
    </row>
    <row r="686" spans="2:4" x14ac:dyDescent="0.2">
      <c r="B686" s="1729">
        <v>686</v>
      </c>
      <c r="C686" s="1728" t="s">
        <v>76</v>
      </c>
      <c r="D686" s="1727" t="s">
        <v>1213</v>
      </c>
    </row>
    <row r="687" spans="2:4" x14ac:dyDescent="0.2">
      <c r="B687" s="1729">
        <v>687</v>
      </c>
      <c r="C687" s="1728" t="s">
        <v>72</v>
      </c>
      <c r="D687" s="1727" t="s">
        <v>1048</v>
      </c>
    </row>
    <row r="688" spans="2:4" x14ac:dyDescent="0.2">
      <c r="B688" s="1729">
        <v>688</v>
      </c>
      <c r="C688" s="1728" t="s">
        <v>73</v>
      </c>
      <c r="D688" s="1727" t="s">
        <v>1214</v>
      </c>
    </row>
    <row r="689" spans="2:4" x14ac:dyDescent="0.2">
      <c r="B689" s="1729">
        <v>689</v>
      </c>
      <c r="C689" s="1728" t="s">
        <v>74</v>
      </c>
      <c r="D689" s="1727" t="s">
        <v>1215</v>
      </c>
    </row>
    <row r="690" spans="2:4" x14ac:dyDescent="0.2">
      <c r="B690" s="1729">
        <v>690</v>
      </c>
      <c r="C690" s="1728" t="s">
        <v>39</v>
      </c>
      <c r="D690" s="1727" t="s">
        <v>834</v>
      </c>
    </row>
    <row r="691" spans="2:4" x14ac:dyDescent="0.2">
      <c r="B691" s="1729">
        <v>691</v>
      </c>
      <c r="C691" s="1731" t="s">
        <v>663</v>
      </c>
      <c r="D691" s="1727" t="s">
        <v>663</v>
      </c>
    </row>
    <row r="692" spans="2:4" x14ac:dyDescent="0.2">
      <c r="B692" s="1729">
        <v>692</v>
      </c>
      <c r="C692" s="1728" t="s">
        <v>47</v>
      </c>
      <c r="D692" s="1727" t="s">
        <v>1043</v>
      </c>
    </row>
    <row r="693" spans="2:4" x14ac:dyDescent="0.2">
      <c r="B693" s="1729">
        <v>693</v>
      </c>
      <c r="C693" s="1728" t="s">
        <v>77</v>
      </c>
      <c r="D693" s="1727" t="s">
        <v>1216</v>
      </c>
    </row>
    <row r="694" spans="2:4" x14ac:dyDescent="0.2">
      <c r="B694" s="1729">
        <v>694</v>
      </c>
      <c r="C694" s="1728" t="s">
        <v>37</v>
      </c>
      <c r="D694" s="1727" t="s">
        <v>1217</v>
      </c>
    </row>
    <row r="695" spans="2:4" x14ac:dyDescent="0.2">
      <c r="B695" s="1729">
        <v>695</v>
      </c>
      <c r="C695" s="1728" t="s">
        <v>89</v>
      </c>
      <c r="D695" s="1727" t="s">
        <v>1218</v>
      </c>
    </row>
    <row r="696" spans="2:4" x14ac:dyDescent="0.2">
      <c r="B696" s="1729">
        <v>696</v>
      </c>
      <c r="C696" s="1728" t="s">
        <v>71</v>
      </c>
      <c r="D696" s="1727" t="s">
        <v>1209</v>
      </c>
    </row>
    <row r="697" spans="2:4" x14ac:dyDescent="0.2">
      <c r="B697" s="1729">
        <v>697</v>
      </c>
      <c r="C697" s="1728" t="s">
        <v>52</v>
      </c>
      <c r="D697" s="1727" t="s">
        <v>1219</v>
      </c>
    </row>
    <row r="698" spans="2:4" x14ac:dyDescent="0.2">
      <c r="B698" s="1729">
        <v>698</v>
      </c>
      <c r="C698" s="1728" t="s">
        <v>123</v>
      </c>
      <c r="D698" s="1727" t="s">
        <v>1220</v>
      </c>
    </row>
    <row r="699" spans="2:4" x14ac:dyDescent="0.2">
      <c r="B699" s="1729">
        <v>699</v>
      </c>
      <c r="C699" s="1728" t="s">
        <v>48</v>
      </c>
      <c r="D699" s="1727" t="s">
        <v>1048</v>
      </c>
    </row>
    <row r="700" spans="2:4" x14ac:dyDescent="0.2">
      <c r="B700" s="1729">
        <v>700</v>
      </c>
      <c r="C700" s="1728" t="s">
        <v>1</v>
      </c>
      <c r="D700" s="1727" t="s">
        <v>1049</v>
      </c>
    </row>
    <row r="701" spans="2:4" x14ac:dyDescent="0.2">
      <c r="B701" s="1729">
        <v>701</v>
      </c>
      <c r="C701" s="1728" t="s">
        <v>35</v>
      </c>
      <c r="D701" s="1727" t="s">
        <v>1148</v>
      </c>
    </row>
    <row r="702" spans="2:4" x14ac:dyDescent="0.2">
      <c r="B702" s="1729">
        <v>702</v>
      </c>
      <c r="C702" s="1728" t="s">
        <v>49</v>
      </c>
      <c r="D702" s="1727" t="s">
        <v>1149</v>
      </c>
    </row>
    <row r="703" spans="2:4" x14ac:dyDescent="0.2">
      <c r="B703" s="1729">
        <v>703</v>
      </c>
      <c r="C703" s="1728" t="s">
        <v>39</v>
      </c>
      <c r="D703" s="1727" t="s">
        <v>834</v>
      </c>
    </row>
    <row r="704" spans="2:4" x14ac:dyDescent="0.2">
      <c r="B704" s="1729">
        <v>704</v>
      </c>
      <c r="C704" s="1728" t="s">
        <v>121</v>
      </c>
      <c r="D704" s="1727" t="s">
        <v>1221</v>
      </c>
    </row>
    <row r="705" spans="2:5" x14ac:dyDescent="0.2">
      <c r="B705" s="1729">
        <v>705</v>
      </c>
      <c r="C705" s="1728" t="s">
        <v>78</v>
      </c>
      <c r="D705" s="1727" t="s">
        <v>1222</v>
      </c>
    </row>
    <row r="706" spans="2:5" x14ac:dyDescent="0.2">
      <c r="B706" s="1729">
        <v>706</v>
      </c>
      <c r="C706" s="1728" t="s">
        <v>79</v>
      </c>
      <c r="D706" s="1727" t="s">
        <v>1223</v>
      </c>
    </row>
    <row r="707" spans="2:5" x14ac:dyDescent="0.2">
      <c r="B707" s="1729">
        <v>707</v>
      </c>
      <c r="C707" s="1728" t="s">
        <v>38</v>
      </c>
      <c r="D707" s="1727" t="s">
        <v>768</v>
      </c>
    </row>
    <row r="708" spans="2:5" x14ac:dyDescent="0.2">
      <c r="B708" s="1729">
        <v>708</v>
      </c>
      <c r="C708" s="1728" t="s">
        <v>122</v>
      </c>
      <c r="D708" s="1727" t="s">
        <v>1224</v>
      </c>
    </row>
    <row r="709" spans="2:5" x14ac:dyDescent="0.2">
      <c r="B709" s="1729">
        <v>709</v>
      </c>
      <c r="C709" s="1728" t="s">
        <v>284</v>
      </c>
      <c r="D709" s="1727" t="s">
        <v>1225</v>
      </c>
    </row>
    <row r="710" spans="2:5" x14ac:dyDescent="0.2">
      <c r="B710" s="1729">
        <v>710</v>
      </c>
      <c r="C710" s="1728" t="s">
        <v>691</v>
      </c>
      <c r="D710" s="1727" t="s">
        <v>1226</v>
      </c>
    </row>
    <row r="711" spans="2:5" x14ac:dyDescent="0.2">
      <c r="B711" s="1729">
        <v>711</v>
      </c>
      <c r="C711" s="1728" t="s">
        <v>692</v>
      </c>
      <c r="D711" s="1727" t="s">
        <v>1227</v>
      </c>
    </row>
    <row r="712" spans="2:5" x14ac:dyDescent="0.2">
      <c r="B712" s="1729">
        <v>712</v>
      </c>
      <c r="C712" s="1728" t="s">
        <v>679</v>
      </c>
      <c r="D712" s="1727" t="s">
        <v>1228</v>
      </c>
    </row>
    <row r="713" spans="2:5" x14ac:dyDescent="0.2">
      <c r="B713" s="1729">
        <v>713</v>
      </c>
      <c r="C713" s="1728" t="s">
        <v>680</v>
      </c>
      <c r="D713" s="1727" t="s">
        <v>1229</v>
      </c>
    </row>
    <row r="714" spans="2:5" x14ac:dyDescent="0.2">
      <c r="B714" s="1729">
        <v>714</v>
      </c>
      <c r="C714" s="1728" t="s">
        <v>681</v>
      </c>
      <c r="D714" s="1727" t="s">
        <v>1230</v>
      </c>
    </row>
    <row r="715" spans="2:5" x14ac:dyDescent="0.2">
      <c r="B715" s="1729">
        <v>715</v>
      </c>
      <c r="C715" s="1728" t="s">
        <v>682</v>
      </c>
      <c r="D715" s="1727" t="s">
        <v>1231</v>
      </c>
    </row>
    <row r="716" spans="2:5" x14ac:dyDescent="0.2">
      <c r="B716" s="1729">
        <v>716</v>
      </c>
      <c r="C716" s="1728" t="s">
        <v>683</v>
      </c>
      <c r="D716" s="1727" t="s">
        <v>1232</v>
      </c>
    </row>
    <row r="717" spans="2:5" x14ac:dyDescent="0.2">
      <c r="B717" s="1729">
        <v>717</v>
      </c>
      <c r="C717" s="1728" t="s">
        <v>684</v>
      </c>
      <c r="D717" s="1727" t="s">
        <v>1233</v>
      </c>
    </row>
    <row r="718" spans="2:5" x14ac:dyDescent="0.2">
      <c r="B718" s="1729">
        <v>718</v>
      </c>
      <c r="C718" s="1728" t="s">
        <v>472</v>
      </c>
      <c r="D718" s="1727" t="s">
        <v>942</v>
      </c>
    </row>
    <row r="719" spans="2:5" x14ac:dyDescent="0.2">
      <c r="B719" s="1729">
        <v>719</v>
      </c>
      <c r="C719" s="1728" t="s">
        <v>685</v>
      </c>
      <c r="D719" s="1727" t="s">
        <v>1234</v>
      </c>
    </row>
    <row r="720" spans="2:5" x14ac:dyDescent="0.2">
      <c r="B720" s="1729">
        <v>720</v>
      </c>
      <c r="C720" s="1728" t="s">
        <v>690</v>
      </c>
      <c r="D720" s="1727" t="s">
        <v>1235</v>
      </c>
      <c r="E720" s="1727" t="s">
        <v>696</v>
      </c>
    </row>
    <row r="721" spans="2:5" x14ac:dyDescent="0.2">
      <c r="B721" s="1729">
        <v>721</v>
      </c>
      <c r="C721" s="1728" t="s">
        <v>689</v>
      </c>
      <c r="D721" s="1727" t="s">
        <v>1236</v>
      </c>
      <c r="E721" s="1727" t="s">
        <v>1288</v>
      </c>
    </row>
    <row r="722" spans="2:5" x14ac:dyDescent="0.2">
      <c r="B722" s="1729">
        <v>722</v>
      </c>
      <c r="C722" s="1728" t="s">
        <v>686</v>
      </c>
      <c r="D722" s="1727" t="s">
        <v>1237</v>
      </c>
    </row>
    <row r="723" spans="2:5" x14ac:dyDescent="0.2">
      <c r="B723" s="1729">
        <v>723</v>
      </c>
      <c r="C723" s="1728" t="s">
        <v>687</v>
      </c>
      <c r="D723" s="1727" t="s">
        <v>1238</v>
      </c>
      <c r="E723" s="1727" t="s">
        <v>705</v>
      </c>
    </row>
    <row r="724" spans="2:5" ht="14.25" x14ac:dyDescent="0.25">
      <c r="B724" s="1729">
        <v>724</v>
      </c>
      <c r="C724" s="1728" t="s">
        <v>698</v>
      </c>
      <c r="D724" s="1727" t="s">
        <v>1239</v>
      </c>
      <c r="E724" s="1727" t="s">
        <v>1289</v>
      </c>
    </row>
    <row r="725" spans="2:5" ht="14.25" x14ac:dyDescent="0.25">
      <c r="B725" s="1729">
        <v>725</v>
      </c>
      <c r="C725" s="1728" t="s">
        <v>699</v>
      </c>
      <c r="D725" s="1727" t="s">
        <v>1240</v>
      </c>
    </row>
    <row r="726" spans="2:5" ht="14.25" x14ac:dyDescent="0.25">
      <c r="B726" s="1729">
        <v>726</v>
      </c>
      <c r="C726" s="1728" t="s">
        <v>700</v>
      </c>
      <c r="D726" s="1727" t="s">
        <v>1241</v>
      </c>
      <c r="E726" s="1727" t="s">
        <v>697</v>
      </c>
    </row>
    <row r="727" spans="2:5" ht="14.25" x14ac:dyDescent="0.25">
      <c r="B727" s="1729">
        <v>727</v>
      </c>
      <c r="C727" s="1728" t="s">
        <v>701</v>
      </c>
      <c r="D727" s="1727" t="s">
        <v>1242</v>
      </c>
      <c r="E727" s="1727" t="s">
        <v>1290</v>
      </c>
    </row>
    <row r="728" spans="2:5" x14ac:dyDescent="0.2">
      <c r="B728" s="1729">
        <v>728</v>
      </c>
      <c r="C728" s="1728" t="s">
        <v>688</v>
      </c>
      <c r="D728" s="1727" t="s">
        <v>1243</v>
      </c>
    </row>
    <row r="729" spans="2:5" ht="14.25" x14ac:dyDescent="0.25">
      <c r="B729" s="1729">
        <v>729</v>
      </c>
      <c r="C729" s="1728" t="s">
        <v>702</v>
      </c>
      <c r="D729" s="1727" t="s">
        <v>1244</v>
      </c>
    </row>
    <row r="730" spans="2:5" x14ac:dyDescent="0.2">
      <c r="B730" s="1729">
        <v>730</v>
      </c>
      <c r="C730" s="1728" t="s">
        <v>703</v>
      </c>
      <c r="D730" s="1727" t="s">
        <v>1245</v>
      </c>
    </row>
    <row r="731" spans="2:5" x14ac:dyDescent="0.2">
      <c r="B731" s="1729">
        <v>731</v>
      </c>
      <c r="C731" s="1728" t="s">
        <v>712</v>
      </c>
      <c r="D731" s="1727" t="s">
        <v>1246</v>
      </c>
    </row>
    <row r="732" spans="2:5" x14ac:dyDescent="0.2">
      <c r="B732" s="1729">
        <v>732</v>
      </c>
      <c r="C732" s="1728" t="s">
        <v>713</v>
      </c>
      <c r="D732" s="1727" t="s">
        <v>1247</v>
      </c>
    </row>
    <row r="733" spans="2:5" x14ac:dyDescent="0.2">
      <c r="B733" s="1729">
        <v>733</v>
      </c>
      <c r="C733" s="1728" t="s">
        <v>1383</v>
      </c>
      <c r="D733" s="1727" t="s">
        <v>1384</v>
      </c>
    </row>
    <row r="734" spans="2:5" x14ac:dyDescent="0.2">
      <c r="B734" s="1729">
        <v>734</v>
      </c>
      <c r="C734" s="1728" t="s">
        <v>1385</v>
      </c>
      <c r="D734" s="1727" t="s">
        <v>1386</v>
      </c>
    </row>
    <row r="735" spans="2:5" x14ac:dyDescent="0.2">
      <c r="B735" s="1729">
        <v>735</v>
      </c>
      <c r="C735" s="1728" t="s">
        <v>715</v>
      </c>
      <c r="D735" s="1727" t="s">
        <v>1248</v>
      </c>
    </row>
    <row r="736" spans="2:5" x14ac:dyDescent="0.2">
      <c r="B736" s="1729">
        <v>736</v>
      </c>
      <c r="C736" s="1728" t="s">
        <v>1389</v>
      </c>
      <c r="D736" s="1727" t="s">
        <v>1390</v>
      </c>
    </row>
    <row r="737" spans="2:4" x14ac:dyDescent="0.2">
      <c r="B737" s="1729">
        <v>737</v>
      </c>
      <c r="C737" s="1728" t="s">
        <v>714</v>
      </c>
      <c r="D737" s="1727" t="s">
        <v>1249</v>
      </c>
    </row>
    <row r="738" spans="2:4" x14ac:dyDescent="0.2">
      <c r="B738" s="1729">
        <v>738</v>
      </c>
      <c r="C738" s="1728" t="s">
        <v>718</v>
      </c>
      <c r="D738" s="1727" t="s">
        <v>1250</v>
      </c>
    </row>
    <row r="739" spans="2:4" x14ac:dyDescent="0.2">
      <c r="B739" s="1729">
        <v>739</v>
      </c>
      <c r="C739" s="1728" t="s">
        <v>719</v>
      </c>
      <c r="D739" s="1727" t="s">
        <v>1251</v>
      </c>
    </row>
    <row r="740" spans="2:4" x14ac:dyDescent="0.2">
      <c r="B740" s="1729">
        <v>740</v>
      </c>
      <c r="C740" s="1728" t="s">
        <v>720</v>
      </c>
      <c r="D740" s="1727" t="s">
        <v>1252</v>
      </c>
    </row>
    <row r="741" spans="2:4" x14ac:dyDescent="0.2">
      <c r="B741" s="1729">
        <v>741</v>
      </c>
      <c r="C741" s="1728" t="s">
        <v>721</v>
      </c>
      <c r="D741" s="1727" t="s">
        <v>1253</v>
      </c>
    </row>
    <row r="742" spans="2:4" x14ac:dyDescent="0.2">
      <c r="B742" s="1729">
        <v>742</v>
      </c>
      <c r="C742" s="1728" t="s">
        <v>722</v>
      </c>
      <c r="D742" s="1727" t="s">
        <v>1254</v>
      </c>
    </row>
    <row r="743" spans="2:4" x14ac:dyDescent="0.2">
      <c r="B743" s="1729">
        <v>743</v>
      </c>
      <c r="C743" s="1728" t="s">
        <v>192</v>
      </c>
      <c r="D743" s="1727" t="s">
        <v>1298</v>
      </c>
    </row>
    <row r="744" spans="2:4" x14ac:dyDescent="0.2">
      <c r="B744" s="1729">
        <v>744</v>
      </c>
      <c r="C744" s="1728" t="s">
        <v>193</v>
      </c>
      <c r="D744" s="1727" t="s">
        <v>1299</v>
      </c>
    </row>
    <row r="745" spans="2:4" x14ac:dyDescent="0.2">
      <c r="B745" s="1729">
        <v>745</v>
      </c>
      <c r="C745" s="1728" t="s">
        <v>194</v>
      </c>
      <c r="D745" s="1727" t="s">
        <v>1300</v>
      </c>
    </row>
    <row r="746" spans="2:4" x14ac:dyDescent="0.2">
      <c r="B746" s="1729">
        <v>746</v>
      </c>
      <c r="C746" s="1728" t="s">
        <v>195</v>
      </c>
      <c r="D746" s="1727" t="s">
        <v>1301</v>
      </c>
    </row>
    <row r="747" spans="2:4" x14ac:dyDescent="0.2">
      <c r="B747" s="1729">
        <v>747</v>
      </c>
      <c r="C747" s="1728" t="s">
        <v>196</v>
      </c>
      <c r="D747" s="1727" t="s">
        <v>1302</v>
      </c>
    </row>
    <row r="748" spans="2:4" x14ac:dyDescent="0.2">
      <c r="B748" s="1729">
        <v>748</v>
      </c>
      <c r="C748" s="1728" t="s">
        <v>197</v>
      </c>
      <c r="D748" s="1727" t="s">
        <v>1303</v>
      </c>
    </row>
    <row r="749" spans="2:4" x14ac:dyDescent="0.2">
      <c r="B749" s="1729">
        <v>749</v>
      </c>
      <c r="C749" s="1728" t="s">
        <v>198</v>
      </c>
      <c r="D749" s="1727" t="s">
        <v>1304</v>
      </c>
    </row>
    <row r="750" spans="2:4" x14ac:dyDescent="0.2">
      <c r="B750" s="1729">
        <v>750</v>
      </c>
      <c r="C750" s="1728" t="s">
        <v>1307</v>
      </c>
      <c r="D750" s="1727" t="s">
        <v>1322</v>
      </c>
    </row>
    <row r="751" spans="2:4" x14ac:dyDescent="0.2">
      <c r="B751" s="1729">
        <v>751</v>
      </c>
      <c r="C751" s="1728" t="s">
        <v>1308</v>
      </c>
      <c r="D751" s="1727" t="s">
        <v>1323</v>
      </c>
    </row>
    <row r="752" spans="2:4" x14ac:dyDescent="0.2">
      <c r="B752" s="1729">
        <v>752</v>
      </c>
      <c r="C752" s="1728" t="s">
        <v>1324</v>
      </c>
      <c r="D752" s="1727" t="s">
        <v>1334</v>
      </c>
    </row>
    <row r="753" spans="2:4" x14ac:dyDescent="0.2">
      <c r="B753" s="1729">
        <v>753</v>
      </c>
      <c r="C753" s="1728" t="s">
        <v>1309</v>
      </c>
      <c r="D753" s="1727" t="s">
        <v>1325</v>
      </c>
    </row>
    <row r="754" spans="2:4" x14ac:dyDescent="0.2">
      <c r="B754" s="1729">
        <v>754</v>
      </c>
      <c r="C754" s="1728" t="s">
        <v>1310</v>
      </c>
      <c r="D754" s="1727" t="s">
        <v>1326</v>
      </c>
    </row>
    <row r="755" spans="2:4" x14ac:dyDescent="0.2">
      <c r="B755" s="1729">
        <v>755</v>
      </c>
      <c r="C755" s="1728" t="s">
        <v>1312</v>
      </c>
      <c r="D755" s="1727" t="s">
        <v>1327</v>
      </c>
    </row>
    <row r="756" spans="2:4" x14ac:dyDescent="0.2">
      <c r="B756" s="1729">
        <v>756</v>
      </c>
      <c r="C756" s="1728" t="s">
        <v>1313</v>
      </c>
      <c r="D756" s="1727" t="s">
        <v>1328</v>
      </c>
    </row>
    <row r="757" spans="2:4" x14ac:dyDescent="0.2">
      <c r="B757" s="1729">
        <v>757</v>
      </c>
      <c r="C757" s="1728" t="s">
        <v>1311</v>
      </c>
      <c r="D757" s="1727" t="s">
        <v>1329</v>
      </c>
    </row>
    <row r="758" spans="2:4" x14ac:dyDescent="0.2">
      <c r="B758" s="1729">
        <v>758</v>
      </c>
      <c r="C758" s="1728" t="s">
        <v>1314</v>
      </c>
      <c r="D758" s="1727" t="s">
        <v>1330</v>
      </c>
    </row>
    <row r="759" spans="2:4" x14ac:dyDescent="0.2">
      <c r="B759" s="1729">
        <v>759</v>
      </c>
      <c r="C759" s="1728" t="s">
        <v>1315</v>
      </c>
      <c r="D759" s="1727" t="s">
        <v>1331</v>
      </c>
    </row>
    <row r="760" spans="2:4" x14ac:dyDescent="0.2">
      <c r="B760" s="1729">
        <v>760</v>
      </c>
      <c r="C760" s="1728" t="s">
        <v>1316</v>
      </c>
      <c r="D760" s="1727" t="s">
        <v>1332</v>
      </c>
    </row>
    <row r="761" spans="2:4" x14ac:dyDescent="0.2">
      <c r="B761" s="1729">
        <v>761</v>
      </c>
      <c r="C761" s="1728" t="s">
        <v>1320</v>
      </c>
      <c r="D761" s="1727" t="s">
        <v>1333</v>
      </c>
    </row>
    <row r="762" spans="2:4" x14ac:dyDescent="0.2">
      <c r="B762" s="1729">
        <v>762</v>
      </c>
      <c r="C762" s="1728" t="s">
        <v>1321</v>
      </c>
      <c r="D762" s="1727" t="s">
        <v>1336</v>
      </c>
    </row>
    <row r="763" spans="2:4" x14ac:dyDescent="0.2">
      <c r="B763" s="1729">
        <v>763</v>
      </c>
      <c r="C763" s="1728" t="s">
        <v>1338</v>
      </c>
      <c r="D763" s="1727" t="s">
        <v>1337</v>
      </c>
    </row>
    <row r="764" spans="2:4" x14ac:dyDescent="0.2">
      <c r="B764" s="1729">
        <v>764</v>
      </c>
      <c r="C764" s="1728" t="s">
        <v>1341</v>
      </c>
      <c r="D764" s="1727" t="s">
        <v>1342</v>
      </c>
    </row>
    <row r="765" spans="2:4" x14ac:dyDescent="0.2">
      <c r="B765" s="1729">
        <v>765</v>
      </c>
      <c r="C765" s="1728" t="s">
        <v>1343</v>
      </c>
      <c r="D765" s="1727" t="s">
        <v>1344</v>
      </c>
    </row>
    <row r="766" spans="2:4" x14ac:dyDescent="0.2">
      <c r="B766" s="1729">
        <v>766</v>
      </c>
    </row>
    <row r="767" spans="2:4" x14ac:dyDescent="0.2">
      <c r="B767" s="1729">
        <v>767</v>
      </c>
    </row>
    <row r="768" spans="2:4" x14ac:dyDescent="0.2">
      <c r="B768" s="1729">
        <v>768</v>
      </c>
    </row>
    <row r="769" spans="2:2" x14ac:dyDescent="0.2">
      <c r="B769" s="1729">
        <v>769</v>
      </c>
    </row>
    <row r="770" spans="2:2" x14ac:dyDescent="0.2">
      <c r="B770" s="1729">
        <v>770</v>
      </c>
    </row>
    <row r="771" spans="2:2" x14ac:dyDescent="0.2">
      <c r="B771" s="1729">
        <v>771</v>
      </c>
    </row>
    <row r="772" spans="2:2" x14ac:dyDescent="0.2">
      <c r="B772" s="1729">
        <v>772</v>
      </c>
    </row>
    <row r="773" spans="2:2" x14ac:dyDescent="0.2">
      <c r="B773" s="1729">
        <v>773</v>
      </c>
    </row>
    <row r="774" spans="2:2" x14ac:dyDescent="0.2">
      <c r="B774" s="1729">
        <v>774</v>
      </c>
    </row>
    <row r="775" spans="2:2" x14ac:dyDescent="0.2">
      <c r="B775" s="1729">
        <v>775</v>
      </c>
    </row>
    <row r="776" spans="2:2" x14ac:dyDescent="0.2">
      <c r="B776" s="1729">
        <v>776</v>
      </c>
    </row>
    <row r="777" spans="2:2" x14ac:dyDescent="0.2">
      <c r="B777" s="1729">
        <v>777</v>
      </c>
    </row>
    <row r="778" spans="2:2" x14ac:dyDescent="0.2">
      <c r="B778" s="1729">
        <v>778</v>
      </c>
    </row>
    <row r="779" spans="2:2" x14ac:dyDescent="0.2">
      <c r="B779" s="1729">
        <v>779</v>
      </c>
    </row>
    <row r="780" spans="2:2" x14ac:dyDescent="0.2">
      <c r="B780" s="1729">
        <v>780</v>
      </c>
    </row>
    <row r="781" spans="2:2" x14ac:dyDescent="0.2">
      <c r="B781" s="1729">
        <v>781</v>
      </c>
    </row>
    <row r="782" spans="2:2" x14ac:dyDescent="0.2">
      <c r="B782" s="1729">
        <v>782</v>
      </c>
    </row>
    <row r="783" spans="2:2" x14ac:dyDescent="0.2">
      <c r="B783" s="1729">
        <v>783</v>
      </c>
    </row>
    <row r="784" spans="2:2" x14ac:dyDescent="0.2">
      <c r="B784" s="1729">
        <v>784</v>
      </c>
    </row>
    <row r="785" spans="2:2" x14ac:dyDescent="0.2">
      <c r="B785" s="1729">
        <v>785</v>
      </c>
    </row>
    <row r="786" spans="2:2" x14ac:dyDescent="0.2">
      <c r="B786" s="1729">
        <v>786</v>
      </c>
    </row>
    <row r="787" spans="2:2" x14ac:dyDescent="0.2">
      <c r="B787" s="1729">
        <v>787</v>
      </c>
    </row>
    <row r="788" spans="2:2" x14ac:dyDescent="0.2">
      <c r="B788" s="1729">
        <v>788</v>
      </c>
    </row>
    <row r="789" spans="2:2" x14ac:dyDescent="0.2">
      <c r="B789" s="1729">
        <v>789</v>
      </c>
    </row>
    <row r="790" spans="2:2" x14ac:dyDescent="0.2">
      <c r="B790" s="1729">
        <v>790</v>
      </c>
    </row>
    <row r="791" spans="2:2" x14ac:dyDescent="0.2">
      <c r="B791" s="1729">
        <v>791</v>
      </c>
    </row>
    <row r="792" spans="2:2" x14ac:dyDescent="0.2">
      <c r="B792" s="1729">
        <v>792</v>
      </c>
    </row>
    <row r="793" spans="2:2" x14ac:dyDescent="0.2">
      <c r="B793" s="1729">
        <v>793</v>
      </c>
    </row>
    <row r="794" spans="2:2" x14ac:dyDescent="0.2">
      <c r="B794" s="1729">
        <v>794</v>
      </c>
    </row>
    <row r="795" spans="2:2" x14ac:dyDescent="0.2">
      <c r="B795" s="1729">
        <v>795</v>
      </c>
    </row>
    <row r="796" spans="2:2" x14ac:dyDescent="0.2">
      <c r="B796" s="1729">
        <v>796</v>
      </c>
    </row>
    <row r="797" spans="2:2" x14ac:dyDescent="0.2">
      <c r="B797" s="1729">
        <v>797</v>
      </c>
    </row>
    <row r="798" spans="2:2" x14ac:dyDescent="0.2">
      <c r="B798" s="1729">
        <v>798</v>
      </c>
    </row>
    <row r="799" spans="2:2" x14ac:dyDescent="0.2">
      <c r="B799" s="1729">
        <v>799</v>
      </c>
    </row>
    <row r="800" spans="2:2" x14ac:dyDescent="0.2">
      <c r="B800" s="1729">
        <v>800</v>
      </c>
    </row>
    <row r="801" spans="2:2" x14ac:dyDescent="0.2">
      <c r="B801" s="1729">
        <v>801</v>
      </c>
    </row>
    <row r="802" spans="2:2" x14ac:dyDescent="0.2">
      <c r="B802" s="1729">
        <v>802</v>
      </c>
    </row>
    <row r="803" spans="2:2" x14ac:dyDescent="0.2">
      <c r="B803" s="1729">
        <v>803</v>
      </c>
    </row>
    <row r="804" spans="2:2" x14ac:dyDescent="0.2">
      <c r="B804" s="1729">
        <v>804</v>
      </c>
    </row>
    <row r="805" spans="2:2" x14ac:dyDescent="0.2">
      <c r="B805" s="1729">
        <v>805</v>
      </c>
    </row>
    <row r="806" spans="2:2" x14ac:dyDescent="0.2">
      <c r="B806" s="1729">
        <v>806</v>
      </c>
    </row>
    <row r="807" spans="2:2" x14ac:dyDescent="0.2">
      <c r="B807" s="1729">
        <v>807</v>
      </c>
    </row>
    <row r="808" spans="2:2" x14ac:dyDescent="0.2">
      <c r="B808" s="1729">
        <v>808</v>
      </c>
    </row>
    <row r="809" spans="2:2" x14ac:dyDescent="0.2">
      <c r="B809" s="1729">
        <v>809</v>
      </c>
    </row>
    <row r="810" spans="2:2" x14ac:dyDescent="0.2">
      <c r="B810" s="1729">
        <v>810</v>
      </c>
    </row>
    <row r="811" spans="2:2" x14ac:dyDescent="0.2">
      <c r="B811" s="1729">
        <v>811</v>
      </c>
    </row>
    <row r="812" spans="2:2" x14ac:dyDescent="0.2">
      <c r="B812" s="1729">
        <v>812</v>
      </c>
    </row>
    <row r="813" spans="2:2" x14ac:dyDescent="0.2">
      <c r="B813" s="1729">
        <v>813</v>
      </c>
    </row>
    <row r="814" spans="2:2" x14ac:dyDescent="0.2">
      <c r="B814" s="1729">
        <v>814</v>
      </c>
    </row>
    <row r="815" spans="2:2" x14ac:dyDescent="0.2">
      <c r="B815" s="1729">
        <v>815</v>
      </c>
    </row>
    <row r="816" spans="2:2" x14ac:dyDescent="0.2">
      <c r="B816" s="1729">
        <v>816</v>
      </c>
    </row>
    <row r="817" spans="2:2" x14ac:dyDescent="0.2">
      <c r="B817" s="1729">
        <v>817</v>
      </c>
    </row>
    <row r="818" spans="2:2" x14ac:dyDescent="0.2">
      <c r="B818" s="1729">
        <v>818</v>
      </c>
    </row>
    <row r="819" spans="2:2" x14ac:dyDescent="0.2">
      <c r="B819" s="1729">
        <v>819</v>
      </c>
    </row>
    <row r="820" spans="2:2" x14ac:dyDescent="0.2">
      <c r="B820" s="1729">
        <v>820</v>
      </c>
    </row>
    <row r="821" spans="2:2" x14ac:dyDescent="0.2">
      <c r="B821" s="1729">
        <v>821</v>
      </c>
    </row>
    <row r="822" spans="2:2" x14ac:dyDescent="0.2">
      <c r="B822" s="1729">
        <v>822</v>
      </c>
    </row>
    <row r="823" spans="2:2" x14ac:dyDescent="0.2">
      <c r="B823" s="1729">
        <v>823</v>
      </c>
    </row>
    <row r="824" spans="2:2" x14ac:dyDescent="0.2">
      <c r="B824" s="1729">
        <v>824</v>
      </c>
    </row>
    <row r="825" spans="2:2" x14ac:dyDescent="0.2">
      <c r="B825" s="1729">
        <v>825</v>
      </c>
    </row>
    <row r="826" spans="2:2" x14ac:dyDescent="0.2">
      <c r="B826" s="1729">
        <v>826</v>
      </c>
    </row>
    <row r="827" spans="2:2" x14ac:dyDescent="0.2">
      <c r="B827" s="1729">
        <v>827</v>
      </c>
    </row>
    <row r="828" spans="2:2" x14ac:dyDescent="0.2">
      <c r="B828" s="1729">
        <v>828</v>
      </c>
    </row>
    <row r="829" spans="2:2" x14ac:dyDescent="0.2">
      <c r="B829" s="1729">
        <v>829</v>
      </c>
    </row>
    <row r="830" spans="2:2" x14ac:dyDescent="0.2">
      <c r="B830" s="1729">
        <v>830</v>
      </c>
    </row>
    <row r="831" spans="2:2" x14ac:dyDescent="0.2">
      <c r="B831" s="1729">
        <v>831</v>
      </c>
    </row>
    <row r="832" spans="2:2" x14ac:dyDescent="0.2">
      <c r="B832" s="1729">
        <v>832</v>
      </c>
    </row>
    <row r="833" spans="2:2" x14ac:dyDescent="0.2">
      <c r="B833" s="1729">
        <v>833</v>
      </c>
    </row>
    <row r="834" spans="2:2" x14ac:dyDescent="0.2">
      <c r="B834" s="1729">
        <v>834</v>
      </c>
    </row>
    <row r="835" spans="2:2" x14ac:dyDescent="0.2">
      <c r="B835" s="1729">
        <v>835</v>
      </c>
    </row>
    <row r="836" spans="2:2" x14ac:dyDescent="0.2">
      <c r="B836" s="1729">
        <v>836</v>
      </c>
    </row>
    <row r="837" spans="2:2" x14ac:dyDescent="0.2">
      <c r="B837" s="1729">
        <v>837</v>
      </c>
    </row>
    <row r="838" spans="2:2" x14ac:dyDescent="0.2">
      <c r="B838" s="1729">
        <v>838</v>
      </c>
    </row>
    <row r="839" spans="2:2" x14ac:dyDescent="0.2">
      <c r="B839" s="1729">
        <v>839</v>
      </c>
    </row>
    <row r="840" spans="2:2" x14ac:dyDescent="0.2">
      <c r="B840" s="1729">
        <v>840</v>
      </c>
    </row>
    <row r="841" spans="2:2" x14ac:dyDescent="0.2">
      <c r="B841" s="1729">
        <v>841</v>
      </c>
    </row>
    <row r="842" spans="2:2" x14ac:dyDescent="0.2">
      <c r="B842" s="1729">
        <v>842</v>
      </c>
    </row>
    <row r="843" spans="2:2" x14ac:dyDescent="0.2">
      <c r="B843" s="1729">
        <v>843</v>
      </c>
    </row>
    <row r="844" spans="2:2" x14ac:dyDescent="0.2">
      <c r="B844" s="1729">
        <v>844</v>
      </c>
    </row>
    <row r="845" spans="2:2" x14ac:dyDescent="0.2">
      <c r="B845" s="1729">
        <v>845</v>
      </c>
    </row>
    <row r="846" spans="2:2" x14ac:dyDescent="0.2">
      <c r="B846" s="1729">
        <v>846</v>
      </c>
    </row>
    <row r="847" spans="2:2" x14ac:dyDescent="0.2">
      <c r="B847" s="1729">
        <v>847</v>
      </c>
    </row>
    <row r="848" spans="2:2" x14ac:dyDescent="0.2">
      <c r="B848" s="1729">
        <v>848</v>
      </c>
    </row>
    <row r="849" spans="2:2" x14ac:dyDescent="0.2">
      <c r="B849" s="1729">
        <v>849</v>
      </c>
    </row>
    <row r="850" spans="2:2" x14ac:dyDescent="0.2">
      <c r="B850" s="1729">
        <v>850</v>
      </c>
    </row>
    <row r="851" spans="2:2" x14ac:dyDescent="0.2">
      <c r="B851" s="1729">
        <v>851</v>
      </c>
    </row>
    <row r="852" spans="2:2" x14ac:dyDescent="0.2">
      <c r="B852" s="1729">
        <v>852</v>
      </c>
    </row>
    <row r="853" spans="2:2" x14ac:dyDescent="0.2">
      <c r="B853" s="1729">
        <v>853</v>
      </c>
    </row>
    <row r="854" spans="2:2" x14ac:dyDescent="0.2">
      <c r="B854" s="1729">
        <v>854</v>
      </c>
    </row>
    <row r="855" spans="2:2" x14ac:dyDescent="0.2">
      <c r="B855" s="1729">
        <v>855</v>
      </c>
    </row>
    <row r="856" spans="2:2" x14ac:dyDescent="0.2">
      <c r="B856" s="1729">
        <v>856</v>
      </c>
    </row>
    <row r="857" spans="2:2" x14ac:dyDescent="0.2">
      <c r="B857" s="1729">
        <v>857</v>
      </c>
    </row>
    <row r="858" spans="2:2" x14ac:dyDescent="0.2">
      <c r="B858" s="1729">
        <v>858</v>
      </c>
    </row>
    <row r="859" spans="2:2" x14ac:dyDescent="0.2">
      <c r="B859" s="1729">
        <v>859</v>
      </c>
    </row>
    <row r="860" spans="2:2" x14ac:dyDescent="0.2">
      <c r="B860" s="1729">
        <v>860</v>
      </c>
    </row>
    <row r="861" spans="2:2" x14ac:dyDescent="0.2">
      <c r="B861" s="1729">
        <v>861</v>
      </c>
    </row>
    <row r="862" spans="2:2" x14ac:dyDescent="0.2">
      <c r="B862" s="1729">
        <v>862</v>
      </c>
    </row>
    <row r="863" spans="2:2" x14ac:dyDescent="0.2">
      <c r="B863" s="1729">
        <v>863</v>
      </c>
    </row>
    <row r="864" spans="2:2" x14ac:dyDescent="0.2">
      <c r="B864" s="1729">
        <v>864</v>
      </c>
    </row>
    <row r="865" spans="2:2" x14ac:dyDescent="0.2">
      <c r="B865" s="1729">
        <v>865</v>
      </c>
    </row>
    <row r="866" spans="2:2" x14ac:dyDescent="0.2">
      <c r="B866" s="1729">
        <v>866</v>
      </c>
    </row>
    <row r="867" spans="2:2" x14ac:dyDescent="0.2">
      <c r="B867" s="1729">
        <v>867</v>
      </c>
    </row>
    <row r="868" spans="2:2" x14ac:dyDescent="0.2">
      <c r="B868" s="1729">
        <v>868</v>
      </c>
    </row>
    <row r="869" spans="2:2" x14ac:dyDescent="0.2">
      <c r="B869" s="1729">
        <v>869</v>
      </c>
    </row>
    <row r="870" spans="2:2" x14ac:dyDescent="0.2">
      <c r="B870" s="1729">
        <v>870</v>
      </c>
    </row>
    <row r="871" spans="2:2" x14ac:dyDescent="0.2">
      <c r="B871" s="1729">
        <v>871</v>
      </c>
    </row>
    <row r="872" spans="2:2" x14ac:dyDescent="0.2">
      <c r="B872" s="1729">
        <v>872</v>
      </c>
    </row>
    <row r="873" spans="2:2" x14ac:dyDescent="0.2">
      <c r="B873" s="1729">
        <v>873</v>
      </c>
    </row>
    <row r="874" spans="2:2" x14ac:dyDescent="0.2">
      <c r="B874" s="1729">
        <v>874</v>
      </c>
    </row>
    <row r="875" spans="2:2" x14ac:dyDescent="0.2">
      <c r="B875" s="1729">
        <v>875</v>
      </c>
    </row>
    <row r="876" spans="2:2" x14ac:dyDescent="0.2">
      <c r="B876" s="1729">
        <v>876</v>
      </c>
    </row>
    <row r="877" spans="2:2" x14ac:dyDescent="0.2">
      <c r="B877" s="1729">
        <v>877</v>
      </c>
    </row>
    <row r="878" spans="2:2" x14ac:dyDescent="0.2">
      <c r="B878" s="1729">
        <v>878</v>
      </c>
    </row>
    <row r="879" spans="2:2" x14ac:dyDescent="0.2">
      <c r="B879" s="1729">
        <v>879</v>
      </c>
    </row>
    <row r="880" spans="2:2" x14ac:dyDescent="0.2">
      <c r="B880" s="1729">
        <v>880</v>
      </c>
    </row>
    <row r="881" spans="2:2" x14ac:dyDescent="0.2">
      <c r="B881" s="1729">
        <v>881</v>
      </c>
    </row>
    <row r="882" spans="2:2" x14ac:dyDescent="0.2">
      <c r="B882" s="1729">
        <v>882</v>
      </c>
    </row>
    <row r="883" spans="2:2" x14ac:dyDescent="0.2">
      <c r="B883" s="1729">
        <v>883</v>
      </c>
    </row>
    <row r="884" spans="2:2" x14ac:dyDescent="0.2">
      <c r="B884" s="1729">
        <v>884</v>
      </c>
    </row>
    <row r="885" spans="2:2" x14ac:dyDescent="0.2">
      <c r="B885" s="1729">
        <v>885</v>
      </c>
    </row>
    <row r="886" spans="2:2" x14ac:dyDescent="0.2">
      <c r="B886" s="1729">
        <v>886</v>
      </c>
    </row>
    <row r="887" spans="2:2" x14ac:dyDescent="0.2">
      <c r="B887" s="1729">
        <v>887</v>
      </c>
    </row>
    <row r="888" spans="2:2" x14ac:dyDescent="0.2">
      <c r="B888" s="1729">
        <v>888</v>
      </c>
    </row>
    <row r="889" spans="2:2" x14ac:dyDescent="0.2">
      <c r="B889" s="1729">
        <v>889</v>
      </c>
    </row>
    <row r="890" spans="2:2" x14ac:dyDescent="0.2">
      <c r="B890" s="1729">
        <v>890</v>
      </c>
    </row>
    <row r="891" spans="2:2" x14ac:dyDescent="0.2">
      <c r="B891" s="1729">
        <v>891</v>
      </c>
    </row>
    <row r="892" spans="2:2" x14ac:dyDescent="0.2">
      <c r="B892" s="1729">
        <v>892</v>
      </c>
    </row>
    <row r="893" spans="2:2" x14ac:dyDescent="0.2">
      <c r="B893" s="1729">
        <v>893</v>
      </c>
    </row>
    <row r="894" spans="2:2" x14ac:dyDescent="0.2">
      <c r="B894" s="1729">
        <v>894</v>
      </c>
    </row>
    <row r="895" spans="2:2" x14ac:dyDescent="0.2">
      <c r="B895" s="1729">
        <v>895</v>
      </c>
    </row>
    <row r="896" spans="2:2" x14ac:dyDescent="0.2">
      <c r="B896" s="1729">
        <v>896</v>
      </c>
    </row>
    <row r="897" spans="2:2" x14ac:dyDescent="0.2">
      <c r="B897" s="1729">
        <v>897</v>
      </c>
    </row>
    <row r="898" spans="2:2" x14ac:dyDescent="0.2">
      <c r="B898" s="1729">
        <v>898</v>
      </c>
    </row>
    <row r="899" spans="2:2" x14ac:dyDescent="0.2">
      <c r="B899" s="1729">
        <v>899</v>
      </c>
    </row>
    <row r="900" spans="2:2" x14ac:dyDescent="0.2">
      <c r="B900" s="1729">
        <v>900</v>
      </c>
    </row>
    <row r="901" spans="2:2" x14ac:dyDescent="0.2">
      <c r="B901" s="1729">
        <v>901</v>
      </c>
    </row>
    <row r="902" spans="2:2" x14ac:dyDescent="0.2">
      <c r="B902" s="1729">
        <v>902</v>
      </c>
    </row>
    <row r="903" spans="2:2" x14ac:dyDescent="0.2">
      <c r="B903" s="1729">
        <v>903</v>
      </c>
    </row>
    <row r="904" spans="2:2" x14ac:dyDescent="0.2">
      <c r="B904" s="1729">
        <v>904</v>
      </c>
    </row>
    <row r="905" spans="2:2" x14ac:dyDescent="0.2">
      <c r="B905" s="1729">
        <v>905</v>
      </c>
    </row>
    <row r="906" spans="2:2" x14ac:dyDescent="0.2">
      <c r="B906" s="1729">
        <v>906</v>
      </c>
    </row>
    <row r="907" spans="2:2" x14ac:dyDescent="0.2">
      <c r="B907" s="1729">
        <v>907</v>
      </c>
    </row>
    <row r="908" spans="2:2" x14ac:dyDescent="0.2">
      <c r="B908" s="1729">
        <v>908</v>
      </c>
    </row>
    <row r="909" spans="2:2" x14ac:dyDescent="0.2">
      <c r="B909" s="1729">
        <v>909</v>
      </c>
    </row>
    <row r="910" spans="2:2" x14ac:dyDescent="0.2">
      <c r="B910" s="1729">
        <v>910</v>
      </c>
    </row>
    <row r="911" spans="2:2" x14ac:dyDescent="0.2">
      <c r="B911" s="1729">
        <v>911</v>
      </c>
    </row>
    <row r="912" spans="2:2" x14ac:dyDescent="0.2">
      <c r="B912" s="1729">
        <v>912</v>
      </c>
    </row>
    <row r="913" spans="2:2" x14ac:dyDescent="0.2">
      <c r="B913" s="1729">
        <v>913</v>
      </c>
    </row>
    <row r="914" spans="2:2" x14ac:dyDescent="0.2">
      <c r="B914" s="1729">
        <v>914</v>
      </c>
    </row>
    <row r="915" spans="2:2" x14ac:dyDescent="0.2">
      <c r="B915" s="1729">
        <v>915</v>
      </c>
    </row>
    <row r="916" spans="2:2" x14ac:dyDescent="0.2">
      <c r="B916" s="1729">
        <v>916</v>
      </c>
    </row>
    <row r="917" spans="2:2" x14ac:dyDescent="0.2">
      <c r="B917" s="1729">
        <v>917</v>
      </c>
    </row>
    <row r="918" spans="2:2" x14ac:dyDescent="0.2">
      <c r="B918" s="1729">
        <v>918</v>
      </c>
    </row>
    <row r="919" spans="2:2" x14ac:dyDescent="0.2">
      <c r="B919" s="1729">
        <v>919</v>
      </c>
    </row>
    <row r="920" spans="2:2" x14ac:dyDescent="0.2">
      <c r="B920" s="1729">
        <v>920</v>
      </c>
    </row>
    <row r="921" spans="2:2" x14ac:dyDescent="0.2">
      <c r="B921" s="1729">
        <v>921</v>
      </c>
    </row>
    <row r="922" spans="2:2" x14ac:dyDescent="0.2">
      <c r="B922" s="1729">
        <v>922</v>
      </c>
    </row>
    <row r="923" spans="2:2" x14ac:dyDescent="0.2">
      <c r="B923" s="1729">
        <v>923</v>
      </c>
    </row>
    <row r="924" spans="2:2" x14ac:dyDescent="0.2">
      <c r="B924" s="1729">
        <v>924</v>
      </c>
    </row>
    <row r="925" spans="2:2" x14ac:dyDescent="0.2">
      <c r="B925" s="1729">
        <v>925</v>
      </c>
    </row>
    <row r="926" spans="2:2" x14ac:dyDescent="0.2">
      <c r="B926" s="1729">
        <v>926</v>
      </c>
    </row>
    <row r="927" spans="2:2" x14ac:dyDescent="0.2">
      <c r="B927" s="1729">
        <v>927</v>
      </c>
    </row>
    <row r="928" spans="2:2" x14ac:dyDescent="0.2">
      <c r="B928" s="1729">
        <v>928</v>
      </c>
    </row>
    <row r="929" spans="2:2" x14ac:dyDescent="0.2">
      <c r="B929" s="1729">
        <v>929</v>
      </c>
    </row>
    <row r="930" spans="2:2" x14ac:dyDescent="0.2">
      <c r="B930" s="1729">
        <v>930</v>
      </c>
    </row>
    <row r="931" spans="2:2" x14ac:dyDescent="0.2">
      <c r="B931" s="1729">
        <v>931</v>
      </c>
    </row>
    <row r="932" spans="2:2" x14ac:dyDescent="0.2">
      <c r="B932" s="1729">
        <v>932</v>
      </c>
    </row>
    <row r="933" spans="2:2" x14ac:dyDescent="0.2">
      <c r="B933" s="1729">
        <v>933</v>
      </c>
    </row>
    <row r="934" spans="2:2" x14ac:dyDescent="0.2">
      <c r="B934" s="1729">
        <v>934</v>
      </c>
    </row>
    <row r="935" spans="2:2" x14ac:dyDescent="0.2">
      <c r="B935" s="1729">
        <v>935</v>
      </c>
    </row>
    <row r="936" spans="2:2" x14ac:dyDescent="0.2">
      <c r="B936" s="1729">
        <v>936</v>
      </c>
    </row>
    <row r="937" spans="2:2" x14ac:dyDescent="0.2">
      <c r="B937" s="1729">
        <v>937</v>
      </c>
    </row>
    <row r="938" spans="2:2" x14ac:dyDescent="0.2">
      <c r="B938" s="1729">
        <v>938</v>
      </c>
    </row>
    <row r="939" spans="2:2" x14ac:dyDescent="0.2">
      <c r="B939" s="1729">
        <v>939</v>
      </c>
    </row>
    <row r="940" spans="2:2" x14ac:dyDescent="0.2">
      <c r="B940" s="1729">
        <v>940</v>
      </c>
    </row>
    <row r="941" spans="2:2" x14ac:dyDescent="0.2">
      <c r="B941" s="1729">
        <v>941</v>
      </c>
    </row>
    <row r="942" spans="2:2" x14ac:dyDescent="0.2">
      <c r="B942" s="1729">
        <v>942</v>
      </c>
    </row>
    <row r="943" spans="2:2" x14ac:dyDescent="0.2">
      <c r="B943" s="1729">
        <v>943</v>
      </c>
    </row>
    <row r="944" spans="2:2" x14ac:dyDescent="0.2">
      <c r="B944" s="1729">
        <v>944</v>
      </c>
    </row>
    <row r="945" spans="2:2" x14ac:dyDescent="0.2">
      <c r="B945" s="1729">
        <v>945</v>
      </c>
    </row>
    <row r="946" spans="2:2" x14ac:dyDescent="0.2">
      <c r="B946" s="1729">
        <v>946</v>
      </c>
    </row>
    <row r="947" spans="2:2" x14ac:dyDescent="0.2">
      <c r="B947" s="1729">
        <v>947</v>
      </c>
    </row>
    <row r="948" spans="2:2" x14ac:dyDescent="0.2">
      <c r="B948" s="1729">
        <v>948</v>
      </c>
    </row>
    <row r="949" spans="2:2" x14ac:dyDescent="0.2">
      <c r="B949" s="1729">
        <v>949</v>
      </c>
    </row>
    <row r="950" spans="2:2" x14ac:dyDescent="0.2">
      <c r="B950" s="1729">
        <v>950</v>
      </c>
    </row>
    <row r="951" spans="2:2" x14ac:dyDescent="0.2">
      <c r="B951" s="1729">
        <v>951</v>
      </c>
    </row>
    <row r="952" spans="2:2" x14ac:dyDescent="0.2">
      <c r="B952" s="1729">
        <v>952</v>
      </c>
    </row>
    <row r="953" spans="2:2" x14ac:dyDescent="0.2">
      <c r="B953" s="1729">
        <v>953</v>
      </c>
    </row>
    <row r="954" spans="2:2" x14ac:dyDescent="0.2">
      <c r="B954" s="1729">
        <v>954</v>
      </c>
    </row>
    <row r="955" spans="2:2" x14ac:dyDescent="0.2">
      <c r="B955" s="1729">
        <v>955</v>
      </c>
    </row>
    <row r="956" spans="2:2" x14ac:dyDescent="0.2">
      <c r="B956" s="1729">
        <v>956</v>
      </c>
    </row>
    <row r="957" spans="2:2" x14ac:dyDescent="0.2">
      <c r="B957" s="1729">
        <v>957</v>
      </c>
    </row>
    <row r="958" spans="2:2" x14ac:dyDescent="0.2">
      <c r="B958" s="1729">
        <v>958</v>
      </c>
    </row>
    <row r="959" spans="2:2" x14ac:dyDescent="0.2">
      <c r="B959" s="1729">
        <v>959</v>
      </c>
    </row>
    <row r="960" spans="2:2" x14ac:dyDescent="0.2">
      <c r="B960" s="1729">
        <v>960</v>
      </c>
    </row>
    <row r="961" spans="2:2" x14ac:dyDescent="0.2">
      <c r="B961" s="1729">
        <v>961</v>
      </c>
    </row>
    <row r="962" spans="2:2" x14ac:dyDescent="0.2">
      <c r="B962" s="1729">
        <v>962</v>
      </c>
    </row>
    <row r="963" spans="2:2" x14ac:dyDescent="0.2">
      <c r="B963" s="1729">
        <v>963</v>
      </c>
    </row>
    <row r="964" spans="2:2" x14ac:dyDescent="0.2">
      <c r="B964" s="1729">
        <v>964</v>
      </c>
    </row>
    <row r="965" spans="2:2" x14ac:dyDescent="0.2">
      <c r="B965" s="1729">
        <v>965</v>
      </c>
    </row>
    <row r="966" spans="2:2" x14ac:dyDescent="0.2">
      <c r="B966" s="1729">
        <v>966</v>
      </c>
    </row>
    <row r="967" spans="2:2" x14ac:dyDescent="0.2">
      <c r="B967" s="1729">
        <v>967</v>
      </c>
    </row>
    <row r="968" spans="2:2" x14ac:dyDescent="0.2">
      <c r="B968" s="1729">
        <v>968</v>
      </c>
    </row>
    <row r="969" spans="2:2" x14ac:dyDescent="0.2">
      <c r="B969" s="1729">
        <v>969</v>
      </c>
    </row>
    <row r="970" spans="2:2" x14ac:dyDescent="0.2">
      <c r="B970" s="1729">
        <v>970</v>
      </c>
    </row>
    <row r="971" spans="2:2" x14ac:dyDescent="0.2">
      <c r="B971" s="1729">
        <v>971</v>
      </c>
    </row>
    <row r="972" spans="2:2" x14ac:dyDescent="0.2">
      <c r="B972" s="1729">
        <v>972</v>
      </c>
    </row>
    <row r="973" spans="2:2" x14ac:dyDescent="0.2">
      <c r="B973" s="1729">
        <v>973</v>
      </c>
    </row>
    <row r="974" spans="2:2" x14ac:dyDescent="0.2">
      <c r="B974" s="1729">
        <v>974</v>
      </c>
    </row>
    <row r="975" spans="2:2" x14ac:dyDescent="0.2">
      <c r="B975" s="1729">
        <v>975</v>
      </c>
    </row>
    <row r="976" spans="2:2" x14ac:dyDescent="0.2">
      <c r="B976" s="1729">
        <v>976</v>
      </c>
    </row>
    <row r="977" spans="2:2" x14ac:dyDescent="0.2">
      <c r="B977" s="1729">
        <v>977</v>
      </c>
    </row>
    <row r="978" spans="2:2" x14ac:dyDescent="0.2">
      <c r="B978" s="1729">
        <v>978</v>
      </c>
    </row>
    <row r="979" spans="2:2" x14ac:dyDescent="0.2">
      <c r="B979" s="1729">
        <v>979</v>
      </c>
    </row>
    <row r="980" spans="2:2" x14ac:dyDescent="0.2">
      <c r="B980" s="1729">
        <v>980</v>
      </c>
    </row>
    <row r="981" spans="2:2" x14ac:dyDescent="0.2">
      <c r="B981" s="1729">
        <v>981</v>
      </c>
    </row>
    <row r="982" spans="2:2" x14ac:dyDescent="0.2">
      <c r="B982" s="1729">
        <v>982</v>
      </c>
    </row>
    <row r="983" spans="2:2" x14ac:dyDescent="0.2">
      <c r="B983" s="1729">
        <v>983</v>
      </c>
    </row>
    <row r="984" spans="2:2" x14ac:dyDescent="0.2">
      <c r="B984" s="1729">
        <v>984</v>
      </c>
    </row>
    <row r="985" spans="2:2" x14ac:dyDescent="0.2">
      <c r="B985" s="1729">
        <v>985</v>
      </c>
    </row>
    <row r="986" spans="2:2" x14ac:dyDescent="0.2">
      <c r="B986" s="1729">
        <v>986</v>
      </c>
    </row>
    <row r="987" spans="2:2" x14ac:dyDescent="0.2">
      <c r="B987" s="1729">
        <v>987</v>
      </c>
    </row>
    <row r="988" spans="2:2" x14ac:dyDescent="0.2">
      <c r="B988" s="1729">
        <v>988</v>
      </c>
    </row>
    <row r="989" spans="2:2" x14ac:dyDescent="0.2">
      <c r="B989" s="1729">
        <v>989</v>
      </c>
    </row>
    <row r="990" spans="2:2" x14ac:dyDescent="0.2">
      <c r="B990" s="1729">
        <v>990</v>
      </c>
    </row>
    <row r="991" spans="2:2" x14ac:dyDescent="0.2">
      <c r="B991" s="1729">
        <v>991</v>
      </c>
    </row>
    <row r="992" spans="2:2" x14ac:dyDescent="0.2">
      <c r="B992" s="1729">
        <v>992</v>
      </c>
    </row>
    <row r="993" spans="2:2" x14ac:dyDescent="0.2">
      <c r="B993" s="1729">
        <v>993</v>
      </c>
    </row>
    <row r="994" spans="2:2" x14ac:dyDescent="0.2">
      <c r="B994" s="1729">
        <v>994</v>
      </c>
    </row>
    <row r="995" spans="2:2" x14ac:dyDescent="0.2">
      <c r="B995" s="1729">
        <v>995</v>
      </c>
    </row>
    <row r="996" spans="2:2" x14ac:dyDescent="0.2">
      <c r="B996" s="1729">
        <v>996</v>
      </c>
    </row>
    <row r="997" spans="2:2" x14ac:dyDescent="0.2">
      <c r="B997" s="1729">
        <v>997</v>
      </c>
    </row>
    <row r="998" spans="2:2" x14ac:dyDescent="0.2">
      <c r="B998" s="1729">
        <v>998</v>
      </c>
    </row>
    <row r="999" spans="2:2" x14ac:dyDescent="0.2">
      <c r="B999" s="1729">
        <v>999</v>
      </c>
    </row>
    <row r="1000" spans="2:2" x14ac:dyDescent="0.2">
      <c r="B1000" s="1729">
        <v>1000</v>
      </c>
    </row>
    <row r="1001" spans="2:2" x14ac:dyDescent="0.2">
      <c r="B1001" s="1729">
        <v>1001</v>
      </c>
    </row>
    <row r="1002" spans="2:2" x14ac:dyDescent="0.2">
      <c r="B1002" s="1729">
        <v>1002</v>
      </c>
    </row>
    <row r="1003" spans="2:2" x14ac:dyDescent="0.2">
      <c r="B1003" s="1729">
        <v>1003</v>
      </c>
    </row>
    <row r="1004" spans="2:2" x14ac:dyDescent="0.2">
      <c r="B1004" s="1729">
        <v>1004</v>
      </c>
    </row>
    <row r="1005" spans="2:2" x14ac:dyDescent="0.2">
      <c r="B1005" s="1729">
        <v>1005</v>
      </c>
    </row>
    <row r="1006" spans="2:2" x14ac:dyDescent="0.2">
      <c r="B1006" s="1729">
        <v>1006</v>
      </c>
    </row>
    <row r="1007" spans="2:2" x14ac:dyDescent="0.2">
      <c r="B1007" s="1729">
        <v>1007</v>
      </c>
    </row>
    <row r="1008" spans="2:2" x14ac:dyDescent="0.2">
      <c r="B1008" s="1729">
        <v>1008</v>
      </c>
    </row>
    <row r="1009" spans="2:2" x14ac:dyDescent="0.2">
      <c r="B1009" s="1729">
        <v>1009</v>
      </c>
    </row>
    <row r="1010" spans="2:2" x14ac:dyDescent="0.2">
      <c r="B1010" s="1729">
        <v>1010</v>
      </c>
    </row>
    <row r="1011" spans="2:2" x14ac:dyDescent="0.2">
      <c r="B1011" s="1729">
        <v>1011</v>
      </c>
    </row>
    <row r="1012" spans="2:2" x14ac:dyDescent="0.2">
      <c r="B1012" s="1729">
        <v>1012</v>
      </c>
    </row>
    <row r="1013" spans="2:2" x14ac:dyDescent="0.2">
      <c r="B1013" s="1729">
        <v>1013</v>
      </c>
    </row>
    <row r="1014" spans="2:2" x14ac:dyDescent="0.2">
      <c r="B1014" s="1729">
        <v>1014</v>
      </c>
    </row>
    <row r="1015" spans="2:2" x14ac:dyDescent="0.2">
      <c r="B1015" s="1729">
        <v>1015</v>
      </c>
    </row>
    <row r="1016" spans="2:2" x14ac:dyDescent="0.2">
      <c r="B1016" s="1729">
        <v>1016</v>
      </c>
    </row>
    <row r="1017" spans="2:2" x14ac:dyDescent="0.2">
      <c r="B1017" s="1729">
        <v>1017</v>
      </c>
    </row>
    <row r="1018" spans="2:2" x14ac:dyDescent="0.2">
      <c r="B1018" s="1729">
        <v>1018</v>
      </c>
    </row>
    <row r="1019" spans="2:2" x14ac:dyDescent="0.2">
      <c r="B1019" s="1729">
        <v>1019</v>
      </c>
    </row>
    <row r="1020" spans="2:2" x14ac:dyDescent="0.2">
      <c r="B1020" s="1729">
        <v>1020</v>
      </c>
    </row>
    <row r="1021" spans="2:2" x14ac:dyDescent="0.2">
      <c r="B1021" s="1729">
        <v>1021</v>
      </c>
    </row>
    <row r="1022" spans="2:2" x14ac:dyDescent="0.2">
      <c r="B1022" s="1729">
        <v>1022</v>
      </c>
    </row>
    <row r="1023" spans="2:2" x14ac:dyDescent="0.2">
      <c r="B1023" s="1729">
        <v>1023</v>
      </c>
    </row>
    <row r="1024" spans="2:2" x14ac:dyDescent="0.2">
      <c r="B1024" s="1729">
        <v>1024</v>
      </c>
    </row>
    <row r="1025" spans="2:2" x14ac:dyDescent="0.2">
      <c r="B1025" s="1729">
        <v>1025</v>
      </c>
    </row>
    <row r="1026" spans="2:2" x14ac:dyDescent="0.2">
      <c r="B1026" s="1729">
        <v>1026</v>
      </c>
    </row>
    <row r="1027" spans="2:2" x14ac:dyDescent="0.2">
      <c r="B1027" s="1729">
        <v>1027</v>
      </c>
    </row>
    <row r="1028" spans="2:2" x14ac:dyDescent="0.2">
      <c r="B1028" s="1729">
        <v>1028</v>
      </c>
    </row>
    <row r="1029" spans="2:2" x14ac:dyDescent="0.2">
      <c r="B1029" s="1729">
        <v>1029</v>
      </c>
    </row>
    <row r="1030" spans="2:2" x14ac:dyDescent="0.2">
      <c r="B1030" s="1729">
        <v>1030</v>
      </c>
    </row>
    <row r="1031" spans="2:2" x14ac:dyDescent="0.2">
      <c r="B1031" s="1729">
        <v>1031</v>
      </c>
    </row>
    <row r="1032" spans="2:2" x14ac:dyDescent="0.2">
      <c r="B1032" s="1729">
        <v>1032</v>
      </c>
    </row>
    <row r="1033" spans="2:2" x14ac:dyDescent="0.2">
      <c r="B1033" s="1729">
        <v>1033</v>
      </c>
    </row>
    <row r="1034" spans="2:2" x14ac:dyDescent="0.2">
      <c r="B1034" s="1729">
        <v>1034</v>
      </c>
    </row>
    <row r="1035" spans="2:2" x14ac:dyDescent="0.2">
      <c r="B1035" s="1729">
        <v>1035</v>
      </c>
    </row>
    <row r="1036" spans="2:2" x14ac:dyDescent="0.2">
      <c r="B1036" s="1729">
        <v>1036</v>
      </c>
    </row>
    <row r="1037" spans="2:2" x14ac:dyDescent="0.2">
      <c r="B1037" s="1729">
        <v>1037</v>
      </c>
    </row>
    <row r="1038" spans="2:2" x14ac:dyDescent="0.2">
      <c r="B1038" s="1729">
        <v>1038</v>
      </c>
    </row>
    <row r="1039" spans="2:2" x14ac:dyDescent="0.2">
      <c r="B1039" s="1729">
        <v>1039</v>
      </c>
    </row>
    <row r="1040" spans="2:2" x14ac:dyDescent="0.2">
      <c r="B1040" s="1729">
        <v>1040</v>
      </c>
    </row>
    <row r="1041" spans="2:2" x14ac:dyDescent="0.2">
      <c r="B1041" s="1729">
        <v>1041</v>
      </c>
    </row>
    <row r="1042" spans="2:2" x14ac:dyDescent="0.2">
      <c r="B1042" s="1729">
        <v>1042</v>
      </c>
    </row>
    <row r="1043" spans="2:2" x14ac:dyDescent="0.2">
      <c r="B1043" s="1729">
        <v>1043</v>
      </c>
    </row>
    <row r="1044" spans="2:2" x14ac:dyDescent="0.2">
      <c r="B1044" s="1729">
        <v>1044</v>
      </c>
    </row>
    <row r="1045" spans="2:2" x14ac:dyDescent="0.2">
      <c r="B1045" s="1729">
        <v>1045</v>
      </c>
    </row>
    <row r="1046" spans="2:2" x14ac:dyDescent="0.2">
      <c r="B1046" s="1729">
        <v>1046</v>
      </c>
    </row>
    <row r="1047" spans="2:2" x14ac:dyDescent="0.2">
      <c r="B1047" s="1729">
        <v>1047</v>
      </c>
    </row>
    <row r="1048" spans="2:2" x14ac:dyDescent="0.2">
      <c r="B1048" s="1729">
        <v>1048</v>
      </c>
    </row>
    <row r="1049" spans="2:2" x14ac:dyDescent="0.2">
      <c r="B1049" s="1729">
        <v>1049</v>
      </c>
    </row>
    <row r="1050" spans="2:2" x14ac:dyDescent="0.2">
      <c r="B1050" s="1729">
        <v>1050</v>
      </c>
    </row>
    <row r="1051" spans="2:2" x14ac:dyDescent="0.2">
      <c r="B1051" s="1729">
        <v>1051</v>
      </c>
    </row>
    <row r="1052" spans="2:2" x14ac:dyDescent="0.2">
      <c r="B1052" s="1729">
        <v>1052</v>
      </c>
    </row>
    <row r="1053" spans="2:2" x14ac:dyDescent="0.2">
      <c r="B1053" s="1729">
        <v>1053</v>
      </c>
    </row>
    <row r="1054" spans="2:2" x14ac:dyDescent="0.2">
      <c r="B1054" s="1729">
        <v>1054</v>
      </c>
    </row>
    <row r="1055" spans="2:2" x14ac:dyDescent="0.2">
      <c r="B1055" s="1729">
        <v>1055</v>
      </c>
    </row>
    <row r="1056" spans="2:2" x14ac:dyDescent="0.2">
      <c r="B1056" s="1729">
        <v>1056</v>
      </c>
    </row>
    <row r="1057" spans="2:2" x14ac:dyDescent="0.2">
      <c r="B1057" s="1729">
        <v>1057</v>
      </c>
    </row>
    <row r="1058" spans="2:2" x14ac:dyDescent="0.2">
      <c r="B1058" s="1729">
        <v>1058</v>
      </c>
    </row>
    <row r="1059" spans="2:2" x14ac:dyDescent="0.2">
      <c r="B1059" s="1729">
        <v>1059</v>
      </c>
    </row>
    <row r="1060" spans="2:2" x14ac:dyDescent="0.2">
      <c r="B1060" s="1729">
        <v>1060</v>
      </c>
    </row>
    <row r="1061" spans="2:2" x14ac:dyDescent="0.2">
      <c r="B1061" s="1729">
        <v>1061</v>
      </c>
    </row>
    <row r="1062" spans="2:2" x14ac:dyDescent="0.2">
      <c r="B1062" s="1729">
        <v>1062</v>
      </c>
    </row>
    <row r="1063" spans="2:2" x14ac:dyDescent="0.2">
      <c r="B1063" s="1729">
        <v>1063</v>
      </c>
    </row>
    <row r="1064" spans="2:2" x14ac:dyDescent="0.2">
      <c r="B1064" s="1729">
        <v>1064</v>
      </c>
    </row>
    <row r="1065" spans="2:2" x14ac:dyDescent="0.2">
      <c r="B1065" s="1729">
        <v>1065</v>
      </c>
    </row>
    <row r="1066" spans="2:2" x14ac:dyDescent="0.2">
      <c r="B1066" s="1729">
        <v>1066</v>
      </c>
    </row>
    <row r="1067" spans="2:2" x14ac:dyDescent="0.2">
      <c r="B1067" s="1729">
        <v>1067</v>
      </c>
    </row>
    <row r="1068" spans="2:2" x14ac:dyDescent="0.2">
      <c r="B1068" s="1729">
        <v>1068</v>
      </c>
    </row>
    <row r="1069" spans="2:2" x14ac:dyDescent="0.2">
      <c r="B1069" s="1729">
        <v>1069</v>
      </c>
    </row>
    <row r="1070" spans="2:2" x14ac:dyDescent="0.2">
      <c r="B1070" s="1729">
        <v>1070</v>
      </c>
    </row>
    <row r="1071" spans="2:2" x14ac:dyDescent="0.2">
      <c r="B1071" s="1729">
        <v>1071</v>
      </c>
    </row>
    <row r="1072" spans="2:2" x14ac:dyDescent="0.2">
      <c r="B1072" s="1729">
        <v>1072</v>
      </c>
    </row>
    <row r="1073" spans="2:2" x14ac:dyDescent="0.2">
      <c r="B1073" s="1729">
        <v>1073</v>
      </c>
    </row>
    <row r="1074" spans="2:2" x14ac:dyDescent="0.2">
      <c r="B1074" s="1729">
        <v>1074</v>
      </c>
    </row>
    <row r="1075" spans="2:2" x14ac:dyDescent="0.2">
      <c r="B1075" s="1729">
        <v>1075</v>
      </c>
    </row>
    <row r="1076" spans="2:2" x14ac:dyDescent="0.2">
      <c r="B1076" s="1729">
        <v>1076</v>
      </c>
    </row>
    <row r="1077" spans="2:2" x14ac:dyDescent="0.2">
      <c r="B1077" s="1729">
        <v>1077</v>
      </c>
    </row>
    <row r="1078" spans="2:2" x14ac:dyDescent="0.2">
      <c r="B1078" s="1729">
        <v>1078</v>
      </c>
    </row>
    <row r="1079" spans="2:2" x14ac:dyDescent="0.2">
      <c r="B1079" s="1729">
        <v>1079</v>
      </c>
    </row>
    <row r="1080" spans="2:2" x14ac:dyDescent="0.2">
      <c r="B1080" s="1729">
        <v>1080</v>
      </c>
    </row>
    <row r="1081" spans="2:2" x14ac:dyDescent="0.2">
      <c r="B1081" s="1729">
        <v>1081</v>
      </c>
    </row>
    <row r="1082" spans="2:2" x14ac:dyDescent="0.2">
      <c r="B1082" s="1729">
        <v>1082</v>
      </c>
    </row>
    <row r="1083" spans="2:2" x14ac:dyDescent="0.2">
      <c r="B1083" s="1729">
        <v>1083</v>
      </c>
    </row>
    <row r="1084" spans="2:2" x14ac:dyDescent="0.2">
      <c r="B1084" s="1729">
        <v>1084</v>
      </c>
    </row>
    <row r="1085" spans="2:2" x14ac:dyDescent="0.2">
      <c r="B1085" s="1729">
        <v>1085</v>
      </c>
    </row>
    <row r="1086" spans="2:2" x14ac:dyDescent="0.2">
      <c r="B1086" s="1729">
        <v>1086</v>
      </c>
    </row>
    <row r="1087" spans="2:2" x14ac:dyDescent="0.2">
      <c r="B1087" s="1729">
        <v>1087</v>
      </c>
    </row>
    <row r="1088" spans="2:2" x14ac:dyDescent="0.2">
      <c r="B1088" s="1729">
        <v>1088</v>
      </c>
    </row>
    <row r="1089" spans="2:2" x14ac:dyDescent="0.2">
      <c r="B1089" s="1729">
        <v>1089</v>
      </c>
    </row>
    <row r="1090" spans="2:2" x14ac:dyDescent="0.2">
      <c r="B1090" s="1729">
        <v>1090</v>
      </c>
    </row>
    <row r="1091" spans="2:2" x14ac:dyDescent="0.2">
      <c r="B1091" s="1729">
        <v>1091</v>
      </c>
    </row>
    <row r="1092" spans="2:2" x14ac:dyDescent="0.2">
      <c r="B1092" s="1729">
        <v>1092</v>
      </c>
    </row>
    <row r="1093" spans="2:2" x14ac:dyDescent="0.2">
      <c r="B1093" s="1729">
        <v>1093</v>
      </c>
    </row>
    <row r="1094" spans="2:2" x14ac:dyDescent="0.2">
      <c r="B1094" s="1729">
        <v>1094</v>
      </c>
    </row>
    <row r="1095" spans="2:2" x14ac:dyDescent="0.2">
      <c r="B1095" s="1729">
        <v>1095</v>
      </c>
    </row>
    <row r="1096" spans="2:2" x14ac:dyDescent="0.2">
      <c r="B1096" s="1729">
        <v>1096</v>
      </c>
    </row>
    <row r="1097" spans="2:2" x14ac:dyDescent="0.2">
      <c r="B1097" s="1729">
        <v>1097</v>
      </c>
    </row>
    <row r="1098" spans="2:2" x14ac:dyDescent="0.2">
      <c r="B1098" s="1729">
        <v>1098</v>
      </c>
    </row>
    <row r="1099" spans="2:2" x14ac:dyDescent="0.2">
      <c r="B1099" s="1729">
        <v>1099</v>
      </c>
    </row>
    <row r="1100" spans="2:2" x14ac:dyDescent="0.2">
      <c r="B1100" s="1729">
        <v>1100</v>
      </c>
    </row>
    <row r="1101" spans="2:2" x14ac:dyDescent="0.2">
      <c r="B1101" s="1729">
        <v>1101</v>
      </c>
    </row>
    <row r="1102" spans="2:2" x14ac:dyDescent="0.2">
      <c r="B1102" s="1729">
        <v>1102</v>
      </c>
    </row>
    <row r="1103" spans="2:2" x14ac:dyDescent="0.2">
      <c r="B1103" s="1729">
        <v>1103</v>
      </c>
    </row>
    <row r="1104" spans="2:2" x14ac:dyDescent="0.2">
      <c r="B1104" s="1729">
        <v>1104</v>
      </c>
    </row>
    <row r="1105" spans="2:2" x14ac:dyDescent="0.2">
      <c r="B1105" s="1729">
        <v>1105</v>
      </c>
    </row>
    <row r="1106" spans="2:2" x14ac:dyDescent="0.2">
      <c r="B1106" s="1729">
        <v>1106</v>
      </c>
    </row>
    <row r="1107" spans="2:2" x14ac:dyDescent="0.2">
      <c r="B1107" s="1729">
        <v>1107</v>
      </c>
    </row>
    <row r="1108" spans="2:2" x14ac:dyDescent="0.2">
      <c r="B1108" s="1729">
        <v>1108</v>
      </c>
    </row>
    <row r="1109" spans="2:2" x14ac:dyDescent="0.2">
      <c r="B1109" s="1729">
        <v>1109</v>
      </c>
    </row>
    <row r="1110" spans="2:2" x14ac:dyDescent="0.2">
      <c r="B1110" s="1729">
        <v>1110</v>
      </c>
    </row>
    <row r="1111" spans="2:2" x14ac:dyDescent="0.2">
      <c r="B1111" s="1729">
        <v>1111</v>
      </c>
    </row>
    <row r="1112" spans="2:2" x14ac:dyDescent="0.2">
      <c r="B1112" s="1729">
        <v>1112</v>
      </c>
    </row>
    <row r="1113" spans="2:2" x14ac:dyDescent="0.2">
      <c r="B1113" s="1729">
        <v>1113</v>
      </c>
    </row>
    <row r="1114" spans="2:2" x14ac:dyDescent="0.2">
      <c r="B1114" s="1729">
        <v>1114</v>
      </c>
    </row>
    <row r="1115" spans="2:2" x14ac:dyDescent="0.2">
      <c r="B1115" s="1729">
        <v>1115</v>
      </c>
    </row>
    <row r="1116" spans="2:2" x14ac:dyDescent="0.2">
      <c r="B1116" s="1729">
        <v>1116</v>
      </c>
    </row>
    <row r="1117" spans="2:2" x14ac:dyDescent="0.2">
      <c r="B1117" s="1729">
        <v>1117</v>
      </c>
    </row>
    <row r="1118" spans="2:2" x14ac:dyDescent="0.2">
      <c r="B1118" s="1729">
        <v>1118</v>
      </c>
    </row>
    <row r="1119" spans="2:2" x14ac:dyDescent="0.2">
      <c r="B1119" s="1729">
        <v>1119</v>
      </c>
    </row>
    <row r="1120" spans="2:2" x14ac:dyDescent="0.2">
      <c r="B1120" s="1729">
        <v>1120</v>
      </c>
    </row>
    <row r="1121" spans="2:2" x14ac:dyDescent="0.2">
      <c r="B1121" s="1729">
        <v>1121</v>
      </c>
    </row>
    <row r="1122" spans="2:2" x14ac:dyDescent="0.2">
      <c r="B1122" s="1729">
        <v>1122</v>
      </c>
    </row>
    <row r="1123" spans="2:2" x14ac:dyDescent="0.2">
      <c r="B1123" s="1729">
        <v>1123</v>
      </c>
    </row>
    <row r="1124" spans="2:2" x14ac:dyDescent="0.2">
      <c r="B1124" s="1729">
        <v>1124</v>
      </c>
    </row>
    <row r="1125" spans="2:2" x14ac:dyDescent="0.2">
      <c r="B1125" s="1729">
        <v>1125</v>
      </c>
    </row>
    <row r="1126" spans="2:2" x14ac:dyDescent="0.2">
      <c r="B1126" s="1729">
        <v>1126</v>
      </c>
    </row>
    <row r="1127" spans="2:2" x14ac:dyDescent="0.2">
      <c r="B1127" s="1729">
        <v>1127</v>
      </c>
    </row>
    <row r="1128" spans="2:2" x14ac:dyDescent="0.2">
      <c r="B1128" s="1729">
        <v>1128</v>
      </c>
    </row>
    <row r="1129" spans="2:2" x14ac:dyDescent="0.2">
      <c r="B1129" s="1729">
        <v>1129</v>
      </c>
    </row>
    <row r="1130" spans="2:2" x14ac:dyDescent="0.2">
      <c r="B1130" s="1729">
        <v>1130</v>
      </c>
    </row>
    <row r="1131" spans="2:2" x14ac:dyDescent="0.2">
      <c r="B1131" s="1729">
        <v>1131</v>
      </c>
    </row>
    <row r="1132" spans="2:2" x14ac:dyDescent="0.2">
      <c r="B1132" s="1729">
        <v>1132</v>
      </c>
    </row>
    <row r="1133" spans="2:2" x14ac:dyDescent="0.2">
      <c r="B1133" s="1729">
        <v>1133</v>
      </c>
    </row>
    <row r="1134" spans="2:2" x14ac:dyDescent="0.2">
      <c r="B1134" s="1729">
        <v>1134</v>
      </c>
    </row>
    <row r="1135" spans="2:2" x14ac:dyDescent="0.2">
      <c r="B1135" s="1729">
        <v>1135</v>
      </c>
    </row>
    <row r="1136" spans="2:2" x14ac:dyDescent="0.2">
      <c r="B1136" s="1729">
        <v>1136</v>
      </c>
    </row>
    <row r="1137" spans="2:2" x14ac:dyDescent="0.2">
      <c r="B1137" s="1729">
        <v>1137</v>
      </c>
    </row>
    <row r="1138" spans="2:2" x14ac:dyDescent="0.2">
      <c r="B1138" s="1729">
        <v>1138</v>
      </c>
    </row>
    <row r="1139" spans="2:2" x14ac:dyDescent="0.2">
      <c r="B1139" s="1729">
        <v>1139</v>
      </c>
    </row>
    <row r="1140" spans="2:2" x14ac:dyDescent="0.2">
      <c r="B1140" s="1729">
        <v>1140</v>
      </c>
    </row>
    <row r="1141" spans="2:2" x14ac:dyDescent="0.2">
      <c r="B1141" s="1729">
        <v>1141</v>
      </c>
    </row>
    <row r="1142" spans="2:2" x14ac:dyDescent="0.2">
      <c r="B1142" s="1729">
        <v>1142</v>
      </c>
    </row>
    <row r="1143" spans="2:2" x14ac:dyDescent="0.2">
      <c r="B1143" s="1729">
        <v>1143</v>
      </c>
    </row>
    <row r="1144" spans="2:2" x14ac:dyDescent="0.2">
      <c r="B1144" s="1729">
        <v>1144</v>
      </c>
    </row>
    <row r="1145" spans="2:2" x14ac:dyDescent="0.2">
      <c r="B1145" s="1729">
        <v>1145</v>
      </c>
    </row>
    <row r="1146" spans="2:2" x14ac:dyDescent="0.2">
      <c r="B1146" s="1729">
        <v>1146</v>
      </c>
    </row>
    <row r="1147" spans="2:2" x14ac:dyDescent="0.2">
      <c r="B1147" s="1729">
        <v>1147</v>
      </c>
    </row>
    <row r="1148" spans="2:2" x14ac:dyDescent="0.2">
      <c r="B1148" s="1729">
        <v>1148</v>
      </c>
    </row>
    <row r="1149" spans="2:2" x14ac:dyDescent="0.2">
      <c r="B1149" s="1729">
        <v>1149</v>
      </c>
    </row>
    <row r="1150" spans="2:2" x14ac:dyDescent="0.2">
      <c r="B1150" s="1729">
        <v>1150</v>
      </c>
    </row>
    <row r="1151" spans="2:2" x14ac:dyDescent="0.2">
      <c r="B1151" s="1729">
        <v>1151</v>
      </c>
    </row>
    <row r="1152" spans="2:2" x14ac:dyDescent="0.2">
      <c r="B1152" s="1729">
        <v>1152</v>
      </c>
    </row>
    <row r="1153" spans="2:2" x14ac:dyDescent="0.2">
      <c r="B1153" s="1729">
        <v>1153</v>
      </c>
    </row>
    <row r="1154" spans="2:2" x14ac:dyDescent="0.2">
      <c r="B1154" s="1729">
        <v>1154</v>
      </c>
    </row>
    <row r="1155" spans="2:2" x14ac:dyDescent="0.2">
      <c r="B1155" s="1729">
        <v>1155</v>
      </c>
    </row>
    <row r="1156" spans="2:2" x14ac:dyDescent="0.2">
      <c r="B1156" s="1729">
        <v>1156</v>
      </c>
    </row>
    <row r="1157" spans="2:2" x14ac:dyDescent="0.2">
      <c r="B1157" s="1729">
        <v>1157</v>
      </c>
    </row>
    <row r="1158" spans="2:2" x14ac:dyDescent="0.2">
      <c r="B1158" s="1729">
        <v>1158</v>
      </c>
    </row>
    <row r="1159" spans="2:2" x14ac:dyDescent="0.2">
      <c r="B1159" s="1729">
        <v>1159</v>
      </c>
    </row>
    <row r="1160" spans="2:2" x14ac:dyDescent="0.2">
      <c r="B1160" s="1729">
        <v>1160</v>
      </c>
    </row>
    <row r="1161" spans="2:2" x14ac:dyDescent="0.2">
      <c r="B1161" s="1729">
        <v>1161</v>
      </c>
    </row>
    <row r="1162" spans="2:2" x14ac:dyDescent="0.2">
      <c r="B1162" s="1729">
        <v>1162</v>
      </c>
    </row>
    <row r="1163" spans="2:2" x14ac:dyDescent="0.2">
      <c r="B1163" s="1729">
        <v>1163</v>
      </c>
    </row>
    <row r="1164" spans="2:2" x14ac:dyDescent="0.2">
      <c r="B1164" s="1729">
        <v>1164</v>
      </c>
    </row>
    <row r="1165" spans="2:2" x14ac:dyDescent="0.2">
      <c r="B1165" s="1729">
        <v>1165</v>
      </c>
    </row>
    <row r="1166" spans="2:2" x14ac:dyDescent="0.2">
      <c r="B1166" s="1729">
        <v>1166</v>
      </c>
    </row>
    <row r="1167" spans="2:2" x14ac:dyDescent="0.2">
      <c r="B1167" s="1729">
        <v>1167</v>
      </c>
    </row>
    <row r="1168" spans="2:2" x14ac:dyDescent="0.2">
      <c r="B1168" s="1729">
        <v>1168</v>
      </c>
    </row>
    <row r="1169" spans="2:2" x14ac:dyDescent="0.2">
      <c r="B1169" s="1729">
        <v>1169</v>
      </c>
    </row>
    <row r="1170" spans="2:2" x14ac:dyDescent="0.2">
      <c r="B1170" s="1729">
        <v>1170</v>
      </c>
    </row>
    <row r="1171" spans="2:2" x14ac:dyDescent="0.2">
      <c r="B1171" s="1729">
        <v>1171</v>
      </c>
    </row>
    <row r="1172" spans="2:2" x14ac:dyDescent="0.2">
      <c r="B1172" s="1729">
        <v>1172</v>
      </c>
    </row>
    <row r="1173" spans="2:2" x14ac:dyDescent="0.2">
      <c r="B1173" s="1729">
        <v>1173</v>
      </c>
    </row>
    <row r="1174" spans="2:2" x14ac:dyDescent="0.2">
      <c r="B1174" s="1729">
        <v>1174</v>
      </c>
    </row>
    <row r="1175" spans="2:2" x14ac:dyDescent="0.2">
      <c r="B1175" s="1729">
        <v>1175</v>
      </c>
    </row>
    <row r="1176" spans="2:2" x14ac:dyDescent="0.2">
      <c r="B1176" s="1729">
        <v>1176</v>
      </c>
    </row>
    <row r="1177" spans="2:2" x14ac:dyDescent="0.2">
      <c r="B1177" s="1729">
        <v>1177</v>
      </c>
    </row>
    <row r="1178" spans="2:2" x14ac:dyDescent="0.2">
      <c r="B1178" s="1729">
        <v>1178</v>
      </c>
    </row>
    <row r="1179" spans="2:2" x14ac:dyDescent="0.2">
      <c r="B1179" s="1729">
        <v>1179</v>
      </c>
    </row>
    <row r="1180" spans="2:2" x14ac:dyDescent="0.2">
      <c r="B1180" s="1729">
        <v>1180</v>
      </c>
    </row>
    <row r="1181" spans="2:2" x14ac:dyDescent="0.2">
      <c r="B1181" s="1729">
        <v>1181</v>
      </c>
    </row>
    <row r="1182" spans="2:2" x14ac:dyDescent="0.2">
      <c r="B1182" s="1729">
        <v>1182</v>
      </c>
    </row>
    <row r="1183" spans="2:2" x14ac:dyDescent="0.2">
      <c r="B1183" s="1729">
        <v>1183</v>
      </c>
    </row>
    <row r="1184" spans="2:2" x14ac:dyDescent="0.2">
      <c r="B1184" s="1729">
        <v>1184</v>
      </c>
    </row>
    <row r="1185" spans="2:2" x14ac:dyDescent="0.2">
      <c r="B1185" s="1729">
        <v>1185</v>
      </c>
    </row>
    <row r="1186" spans="2:2" x14ac:dyDescent="0.2">
      <c r="B1186" s="1729">
        <v>1186</v>
      </c>
    </row>
    <row r="1187" spans="2:2" x14ac:dyDescent="0.2">
      <c r="B1187" s="1729">
        <v>1187</v>
      </c>
    </row>
    <row r="1188" spans="2:2" x14ac:dyDescent="0.2">
      <c r="B1188" s="1729">
        <v>1188</v>
      </c>
    </row>
    <row r="1189" spans="2:2" x14ac:dyDescent="0.2">
      <c r="B1189" s="1729">
        <v>1189</v>
      </c>
    </row>
    <row r="1190" spans="2:2" x14ac:dyDescent="0.2">
      <c r="B1190" s="1729">
        <v>1190</v>
      </c>
    </row>
    <row r="1191" spans="2:2" x14ac:dyDescent="0.2">
      <c r="B1191" s="1729">
        <v>1191</v>
      </c>
    </row>
    <row r="1192" spans="2:2" x14ac:dyDescent="0.2">
      <c r="B1192" s="1729">
        <v>1192</v>
      </c>
    </row>
    <row r="1193" spans="2:2" x14ac:dyDescent="0.2">
      <c r="B1193" s="1729">
        <v>1193</v>
      </c>
    </row>
    <row r="1194" spans="2:2" x14ac:dyDescent="0.2">
      <c r="B1194" s="1729">
        <v>1194</v>
      </c>
    </row>
    <row r="1195" spans="2:2" x14ac:dyDescent="0.2">
      <c r="B1195" s="1729">
        <v>1195</v>
      </c>
    </row>
    <row r="1196" spans="2:2" x14ac:dyDescent="0.2">
      <c r="B1196" s="1729">
        <v>1196</v>
      </c>
    </row>
    <row r="1197" spans="2:2" x14ac:dyDescent="0.2">
      <c r="B1197" s="1729">
        <v>1197</v>
      </c>
    </row>
    <row r="1198" spans="2:2" x14ac:dyDescent="0.2">
      <c r="B1198" s="1729">
        <v>1198</v>
      </c>
    </row>
    <row r="1199" spans="2:2" x14ac:dyDescent="0.2">
      <c r="B1199" s="1729">
        <v>1199</v>
      </c>
    </row>
    <row r="1200" spans="2:2" x14ac:dyDescent="0.2">
      <c r="B1200" s="1729">
        <v>1200</v>
      </c>
    </row>
    <row r="1201" spans="2:2" x14ac:dyDescent="0.2">
      <c r="B1201" s="1729">
        <v>1201</v>
      </c>
    </row>
    <row r="1202" spans="2:2" x14ac:dyDescent="0.2">
      <c r="B1202" s="1729">
        <v>1202</v>
      </c>
    </row>
    <row r="1203" spans="2:2" x14ac:dyDescent="0.2">
      <c r="B1203" s="1729">
        <v>1203</v>
      </c>
    </row>
    <row r="1204" spans="2:2" x14ac:dyDescent="0.2">
      <c r="B1204" s="1729">
        <v>1204</v>
      </c>
    </row>
    <row r="1205" spans="2:2" x14ac:dyDescent="0.2">
      <c r="B1205" s="1729">
        <v>1205</v>
      </c>
    </row>
    <row r="1206" spans="2:2" x14ac:dyDescent="0.2">
      <c r="B1206" s="1729">
        <v>1206</v>
      </c>
    </row>
    <row r="1207" spans="2:2" x14ac:dyDescent="0.2">
      <c r="B1207" s="1729">
        <v>1207</v>
      </c>
    </row>
    <row r="1208" spans="2:2" x14ac:dyDescent="0.2">
      <c r="B1208" s="1729">
        <v>1208</v>
      </c>
    </row>
    <row r="1209" spans="2:2" x14ac:dyDescent="0.2">
      <c r="B1209" s="1729">
        <v>1209</v>
      </c>
    </row>
    <row r="1210" spans="2:2" x14ac:dyDescent="0.2">
      <c r="B1210" s="1729">
        <v>1210</v>
      </c>
    </row>
    <row r="1211" spans="2:2" x14ac:dyDescent="0.2">
      <c r="B1211" s="1729">
        <v>1211</v>
      </c>
    </row>
    <row r="1212" spans="2:2" x14ac:dyDescent="0.2">
      <c r="B1212" s="1729">
        <v>1212</v>
      </c>
    </row>
    <row r="1213" spans="2:2" x14ac:dyDescent="0.2">
      <c r="B1213" s="1729">
        <v>1213</v>
      </c>
    </row>
    <row r="1214" spans="2:2" x14ac:dyDescent="0.2">
      <c r="B1214" s="1729">
        <v>1214</v>
      </c>
    </row>
    <row r="1215" spans="2:2" x14ac:dyDescent="0.2">
      <c r="B1215" s="1729">
        <v>1215</v>
      </c>
    </row>
    <row r="1216" spans="2:2" x14ac:dyDescent="0.2">
      <c r="B1216" s="1729">
        <v>1216</v>
      </c>
    </row>
    <row r="1217" spans="2:2" x14ac:dyDescent="0.2">
      <c r="B1217" s="1729">
        <v>1217</v>
      </c>
    </row>
    <row r="1218" spans="2:2" x14ac:dyDescent="0.2">
      <c r="B1218" s="1729">
        <v>1218</v>
      </c>
    </row>
    <row r="1219" spans="2:2" x14ac:dyDescent="0.2">
      <c r="B1219" s="1729">
        <v>1219</v>
      </c>
    </row>
    <row r="1220" spans="2:2" x14ac:dyDescent="0.2">
      <c r="B1220" s="1729">
        <v>1220</v>
      </c>
    </row>
    <row r="1221" spans="2:2" x14ac:dyDescent="0.2">
      <c r="B1221" s="1729">
        <v>1221</v>
      </c>
    </row>
    <row r="1222" spans="2:2" x14ac:dyDescent="0.2">
      <c r="B1222" s="1729">
        <v>1222</v>
      </c>
    </row>
    <row r="1223" spans="2:2" x14ac:dyDescent="0.2">
      <c r="B1223" s="1729">
        <v>1223</v>
      </c>
    </row>
    <row r="1224" spans="2:2" x14ac:dyDescent="0.2">
      <c r="B1224" s="1729">
        <v>1224</v>
      </c>
    </row>
    <row r="1225" spans="2:2" x14ac:dyDescent="0.2">
      <c r="B1225" s="1729">
        <v>1225</v>
      </c>
    </row>
    <row r="1226" spans="2:2" x14ac:dyDescent="0.2">
      <c r="B1226" s="1729">
        <v>1226</v>
      </c>
    </row>
    <row r="1227" spans="2:2" x14ac:dyDescent="0.2">
      <c r="B1227" s="1729">
        <v>1227</v>
      </c>
    </row>
    <row r="1228" spans="2:2" x14ac:dyDescent="0.2">
      <c r="B1228" s="1729">
        <v>1228</v>
      </c>
    </row>
    <row r="1229" spans="2:2" x14ac:dyDescent="0.2">
      <c r="B1229" s="1729">
        <v>1229</v>
      </c>
    </row>
    <row r="1230" spans="2:2" x14ac:dyDescent="0.2">
      <c r="B1230" s="1729">
        <v>1230</v>
      </c>
    </row>
    <row r="1231" spans="2:2" x14ac:dyDescent="0.2">
      <c r="B1231" s="1729">
        <v>1231</v>
      </c>
    </row>
    <row r="1232" spans="2:2" x14ac:dyDescent="0.2">
      <c r="B1232" s="1729">
        <v>1232</v>
      </c>
    </row>
    <row r="1233" spans="2:2" x14ac:dyDescent="0.2">
      <c r="B1233" s="1729">
        <v>1233</v>
      </c>
    </row>
    <row r="1234" spans="2:2" x14ac:dyDescent="0.2">
      <c r="B1234" s="1729">
        <v>1234</v>
      </c>
    </row>
    <row r="1235" spans="2:2" x14ac:dyDescent="0.2">
      <c r="B1235" s="1729">
        <v>1235</v>
      </c>
    </row>
    <row r="1236" spans="2:2" x14ac:dyDescent="0.2">
      <c r="B1236" s="1729">
        <v>1236</v>
      </c>
    </row>
    <row r="1237" spans="2:2" x14ac:dyDescent="0.2">
      <c r="B1237" s="1729">
        <v>1237</v>
      </c>
    </row>
    <row r="1238" spans="2:2" x14ac:dyDescent="0.2">
      <c r="B1238" s="1729">
        <v>1238</v>
      </c>
    </row>
    <row r="1239" spans="2:2" x14ac:dyDescent="0.2">
      <c r="B1239" s="1729">
        <v>1239</v>
      </c>
    </row>
    <row r="1240" spans="2:2" x14ac:dyDescent="0.2">
      <c r="B1240" s="1729">
        <v>1240</v>
      </c>
    </row>
    <row r="1241" spans="2:2" x14ac:dyDescent="0.2">
      <c r="B1241" s="1729">
        <v>1241</v>
      </c>
    </row>
    <row r="1242" spans="2:2" x14ac:dyDescent="0.2">
      <c r="B1242" s="1729">
        <v>1242</v>
      </c>
    </row>
    <row r="1243" spans="2:2" x14ac:dyDescent="0.2">
      <c r="B1243" s="1729">
        <v>1243</v>
      </c>
    </row>
    <row r="1244" spans="2:2" x14ac:dyDescent="0.2">
      <c r="B1244" s="1729">
        <v>1244</v>
      </c>
    </row>
    <row r="1245" spans="2:2" x14ac:dyDescent="0.2">
      <c r="B1245" s="1729">
        <v>1245</v>
      </c>
    </row>
    <row r="1246" spans="2:2" x14ac:dyDescent="0.2">
      <c r="B1246" s="1729">
        <v>1246</v>
      </c>
    </row>
    <row r="1247" spans="2:2" x14ac:dyDescent="0.2">
      <c r="B1247" s="1729">
        <v>1247</v>
      </c>
    </row>
    <row r="1248" spans="2:2" x14ac:dyDescent="0.2">
      <c r="B1248" s="1729">
        <v>1248</v>
      </c>
    </row>
    <row r="1249" spans="2:2" x14ac:dyDescent="0.2">
      <c r="B1249" s="1729">
        <v>1249</v>
      </c>
    </row>
    <row r="1250" spans="2:2" x14ac:dyDescent="0.2">
      <c r="B1250" s="1729">
        <v>1250</v>
      </c>
    </row>
    <row r="1251" spans="2:2" x14ac:dyDescent="0.2">
      <c r="B1251" s="1729">
        <v>1251</v>
      </c>
    </row>
    <row r="1252" spans="2:2" x14ac:dyDescent="0.2">
      <c r="B1252" s="1729">
        <v>1252</v>
      </c>
    </row>
    <row r="1253" spans="2:2" x14ac:dyDescent="0.2">
      <c r="B1253" s="1729">
        <v>1253</v>
      </c>
    </row>
    <row r="1254" spans="2:2" x14ac:dyDescent="0.2">
      <c r="B1254" s="1729">
        <v>1254</v>
      </c>
    </row>
    <row r="1255" spans="2:2" x14ac:dyDescent="0.2">
      <c r="B1255" s="1729">
        <v>1255</v>
      </c>
    </row>
    <row r="1256" spans="2:2" x14ac:dyDescent="0.2">
      <c r="B1256" s="1729">
        <v>1256</v>
      </c>
    </row>
    <row r="1257" spans="2:2" x14ac:dyDescent="0.2">
      <c r="B1257" s="1729">
        <v>1257</v>
      </c>
    </row>
    <row r="1258" spans="2:2" x14ac:dyDescent="0.2">
      <c r="B1258" s="1729">
        <v>1258</v>
      </c>
    </row>
    <row r="1259" spans="2:2" x14ac:dyDescent="0.2">
      <c r="B1259" s="1729">
        <v>1259</v>
      </c>
    </row>
    <row r="1260" spans="2:2" x14ac:dyDescent="0.2">
      <c r="B1260" s="1729">
        <v>1260</v>
      </c>
    </row>
    <row r="1261" spans="2:2" x14ac:dyDescent="0.2">
      <c r="B1261" s="1729">
        <v>1261</v>
      </c>
    </row>
    <row r="1262" spans="2:2" x14ac:dyDescent="0.2">
      <c r="B1262" s="1729">
        <v>1262</v>
      </c>
    </row>
    <row r="1263" spans="2:2" x14ac:dyDescent="0.2">
      <c r="B1263" s="1729">
        <v>1263</v>
      </c>
    </row>
    <row r="1264" spans="2:2" x14ac:dyDescent="0.2">
      <c r="B1264" s="1729">
        <v>1264</v>
      </c>
    </row>
    <row r="1265" spans="2:2" x14ac:dyDescent="0.2">
      <c r="B1265" s="1729">
        <v>1265</v>
      </c>
    </row>
    <row r="1266" spans="2:2" x14ac:dyDescent="0.2">
      <c r="B1266" s="1729">
        <v>1266</v>
      </c>
    </row>
    <row r="1267" spans="2:2" x14ac:dyDescent="0.2">
      <c r="B1267" s="1729">
        <v>1267</v>
      </c>
    </row>
    <row r="1268" spans="2:2" x14ac:dyDescent="0.2">
      <c r="B1268" s="1729">
        <v>1268</v>
      </c>
    </row>
    <row r="1269" spans="2:2" x14ac:dyDescent="0.2">
      <c r="B1269" s="1729">
        <v>1269</v>
      </c>
    </row>
    <row r="1270" spans="2:2" x14ac:dyDescent="0.2">
      <c r="B1270" s="1729">
        <v>1270</v>
      </c>
    </row>
    <row r="1271" spans="2:2" x14ac:dyDescent="0.2">
      <c r="B1271" s="1729">
        <v>1271</v>
      </c>
    </row>
    <row r="1272" spans="2:2" x14ac:dyDescent="0.2">
      <c r="B1272" s="1729">
        <v>1272</v>
      </c>
    </row>
    <row r="1273" spans="2:2" x14ac:dyDescent="0.2">
      <c r="B1273" s="1729">
        <v>1273</v>
      </c>
    </row>
    <row r="1274" spans="2:2" x14ac:dyDescent="0.2">
      <c r="B1274" s="1729">
        <v>1274</v>
      </c>
    </row>
    <row r="1275" spans="2:2" x14ac:dyDescent="0.2">
      <c r="B1275" s="1729">
        <v>1275</v>
      </c>
    </row>
    <row r="1276" spans="2:2" x14ac:dyDescent="0.2">
      <c r="B1276" s="1729">
        <v>1276</v>
      </c>
    </row>
    <row r="1277" spans="2:2" x14ac:dyDescent="0.2">
      <c r="B1277" s="1729">
        <v>1277</v>
      </c>
    </row>
    <row r="1278" spans="2:2" x14ac:dyDescent="0.2">
      <c r="B1278" s="1729">
        <v>1278</v>
      </c>
    </row>
    <row r="1279" spans="2:2" x14ac:dyDescent="0.2">
      <c r="B1279" s="1729">
        <v>1279</v>
      </c>
    </row>
    <row r="1280" spans="2:2" x14ac:dyDescent="0.2">
      <c r="B1280" s="1729">
        <v>1280</v>
      </c>
    </row>
    <row r="1281" spans="2:2" x14ac:dyDescent="0.2">
      <c r="B1281" s="1729">
        <v>1281</v>
      </c>
    </row>
    <row r="1282" spans="2:2" x14ac:dyDescent="0.2">
      <c r="B1282" s="1729">
        <v>1282</v>
      </c>
    </row>
    <row r="1283" spans="2:2" x14ac:dyDescent="0.2">
      <c r="B1283" s="1729">
        <v>1283</v>
      </c>
    </row>
    <row r="1284" spans="2:2" x14ac:dyDescent="0.2">
      <c r="B1284" s="1729">
        <v>1284</v>
      </c>
    </row>
    <row r="1285" spans="2:2" x14ac:dyDescent="0.2">
      <c r="B1285" s="1729">
        <v>1285</v>
      </c>
    </row>
    <row r="1286" spans="2:2" x14ac:dyDescent="0.2">
      <c r="B1286" s="1729">
        <v>1286</v>
      </c>
    </row>
    <row r="1287" spans="2:2" x14ac:dyDescent="0.2">
      <c r="B1287" s="1729">
        <v>1287</v>
      </c>
    </row>
    <row r="1288" spans="2:2" x14ac:dyDescent="0.2">
      <c r="B1288" s="1729">
        <v>1288</v>
      </c>
    </row>
    <row r="1289" spans="2:2" x14ac:dyDescent="0.2">
      <c r="B1289" s="1729">
        <v>1289</v>
      </c>
    </row>
    <row r="1290" spans="2:2" x14ac:dyDescent="0.2">
      <c r="B1290" s="1729">
        <v>1290</v>
      </c>
    </row>
    <row r="1291" spans="2:2" x14ac:dyDescent="0.2">
      <c r="B1291" s="1729">
        <v>1291</v>
      </c>
    </row>
    <row r="1292" spans="2:2" x14ac:dyDescent="0.2">
      <c r="B1292" s="1729">
        <v>1292</v>
      </c>
    </row>
    <row r="1293" spans="2:2" x14ac:dyDescent="0.2">
      <c r="B1293" s="1729">
        <v>1293</v>
      </c>
    </row>
    <row r="1294" spans="2:2" x14ac:dyDescent="0.2">
      <c r="B1294" s="1729">
        <v>1294</v>
      </c>
    </row>
    <row r="1295" spans="2:2" x14ac:dyDescent="0.2">
      <c r="B1295" s="1729">
        <v>1295</v>
      </c>
    </row>
    <row r="1296" spans="2:2" x14ac:dyDescent="0.2">
      <c r="B1296" s="1729">
        <v>1296</v>
      </c>
    </row>
    <row r="1297" spans="2:2" x14ac:dyDescent="0.2">
      <c r="B1297" s="1729">
        <v>1297</v>
      </c>
    </row>
    <row r="1298" spans="2:2" x14ac:dyDescent="0.2">
      <c r="B1298" s="1729">
        <v>1298</v>
      </c>
    </row>
    <row r="1299" spans="2:2" x14ac:dyDescent="0.2">
      <c r="B1299" s="1729">
        <v>1299</v>
      </c>
    </row>
    <row r="1300" spans="2:2" x14ac:dyDescent="0.2">
      <c r="B1300" s="1729">
        <v>1300</v>
      </c>
    </row>
    <row r="1301" spans="2:2" x14ac:dyDescent="0.2">
      <c r="B1301" s="1729">
        <v>1301</v>
      </c>
    </row>
    <row r="1302" spans="2:2" x14ac:dyDescent="0.2">
      <c r="B1302" s="1729">
        <v>1302</v>
      </c>
    </row>
    <row r="1303" spans="2:2" x14ac:dyDescent="0.2">
      <c r="B1303" s="1729">
        <v>1303</v>
      </c>
    </row>
    <row r="1304" spans="2:2" x14ac:dyDescent="0.2">
      <c r="B1304" s="1729">
        <v>1304</v>
      </c>
    </row>
    <row r="1305" spans="2:2" x14ac:dyDescent="0.2">
      <c r="B1305" s="1729">
        <v>1305</v>
      </c>
    </row>
    <row r="1306" spans="2:2" x14ac:dyDescent="0.2">
      <c r="B1306" s="1729">
        <v>1306</v>
      </c>
    </row>
    <row r="1307" spans="2:2" x14ac:dyDescent="0.2">
      <c r="B1307" s="1729">
        <v>1307</v>
      </c>
    </row>
    <row r="1308" spans="2:2" x14ac:dyDescent="0.2">
      <c r="B1308" s="1729">
        <v>1308</v>
      </c>
    </row>
    <row r="1309" spans="2:2" x14ac:dyDescent="0.2">
      <c r="B1309" s="1729">
        <v>1309</v>
      </c>
    </row>
    <row r="1310" spans="2:2" x14ac:dyDescent="0.2">
      <c r="B1310" s="1729">
        <v>1310</v>
      </c>
    </row>
    <row r="1311" spans="2:2" x14ac:dyDescent="0.2">
      <c r="B1311" s="1729">
        <v>1311</v>
      </c>
    </row>
    <row r="1312" spans="2:2" x14ac:dyDescent="0.2">
      <c r="B1312" s="1729">
        <v>1312</v>
      </c>
    </row>
    <row r="1313" spans="2:2" x14ac:dyDescent="0.2">
      <c r="B1313" s="1729">
        <v>1313</v>
      </c>
    </row>
    <row r="1314" spans="2:2" x14ac:dyDescent="0.2">
      <c r="B1314" s="1729">
        <v>1314</v>
      </c>
    </row>
    <row r="1315" spans="2:2" x14ac:dyDescent="0.2">
      <c r="B1315" s="1729">
        <v>1315</v>
      </c>
    </row>
    <row r="1316" spans="2:2" x14ac:dyDescent="0.2">
      <c r="B1316" s="1729">
        <v>1316</v>
      </c>
    </row>
    <row r="1317" spans="2:2" x14ac:dyDescent="0.2">
      <c r="B1317" s="1729">
        <v>1317</v>
      </c>
    </row>
    <row r="1318" spans="2:2" x14ac:dyDescent="0.2">
      <c r="B1318" s="1729">
        <v>1318</v>
      </c>
    </row>
    <row r="1319" spans="2:2" x14ac:dyDescent="0.2">
      <c r="B1319" s="1729">
        <v>1319</v>
      </c>
    </row>
    <row r="1320" spans="2:2" x14ac:dyDescent="0.2">
      <c r="B1320" s="1729">
        <v>1320</v>
      </c>
    </row>
    <row r="1321" spans="2:2" x14ac:dyDescent="0.2">
      <c r="B1321" s="1729">
        <v>1321</v>
      </c>
    </row>
    <row r="1322" spans="2:2" x14ac:dyDescent="0.2">
      <c r="B1322" s="1729">
        <v>1322</v>
      </c>
    </row>
    <row r="1323" spans="2:2" x14ac:dyDescent="0.2">
      <c r="B1323" s="1729">
        <v>1323</v>
      </c>
    </row>
    <row r="1324" spans="2:2" x14ac:dyDescent="0.2">
      <c r="B1324" s="1729">
        <v>1324</v>
      </c>
    </row>
    <row r="1325" spans="2:2" x14ac:dyDescent="0.2">
      <c r="B1325" s="1729">
        <v>1325</v>
      </c>
    </row>
    <row r="1326" spans="2:2" x14ac:dyDescent="0.2">
      <c r="B1326" s="1729">
        <v>1326</v>
      </c>
    </row>
    <row r="1327" spans="2:2" x14ac:dyDescent="0.2">
      <c r="B1327" s="1729">
        <v>1327</v>
      </c>
    </row>
    <row r="1328" spans="2:2" x14ac:dyDescent="0.2">
      <c r="B1328" s="1729">
        <v>1328</v>
      </c>
    </row>
    <row r="1329" spans="2:2" x14ac:dyDescent="0.2">
      <c r="B1329" s="1729">
        <v>1329</v>
      </c>
    </row>
    <row r="1330" spans="2:2" x14ac:dyDescent="0.2">
      <c r="B1330" s="1729">
        <v>1330</v>
      </c>
    </row>
    <row r="1331" spans="2:2" x14ac:dyDescent="0.2">
      <c r="B1331" s="1729">
        <v>1331</v>
      </c>
    </row>
    <row r="1332" spans="2:2" x14ac:dyDescent="0.2">
      <c r="B1332" s="1729">
        <v>1332</v>
      </c>
    </row>
    <row r="1333" spans="2:2" x14ac:dyDescent="0.2">
      <c r="B1333" s="1729">
        <v>1333</v>
      </c>
    </row>
    <row r="1334" spans="2:2" x14ac:dyDescent="0.2">
      <c r="B1334" s="1729">
        <v>1334</v>
      </c>
    </row>
    <row r="1335" spans="2:2" x14ac:dyDescent="0.2">
      <c r="B1335" s="1729">
        <v>1335</v>
      </c>
    </row>
    <row r="1336" spans="2:2" x14ac:dyDescent="0.2">
      <c r="B1336" s="1729">
        <v>1336</v>
      </c>
    </row>
    <row r="1337" spans="2:2" x14ac:dyDescent="0.2">
      <c r="B1337" s="1729">
        <v>1337</v>
      </c>
    </row>
    <row r="1338" spans="2:2" x14ac:dyDescent="0.2">
      <c r="B1338" s="1729">
        <v>1338</v>
      </c>
    </row>
    <row r="1339" spans="2:2" x14ac:dyDescent="0.2">
      <c r="B1339" s="1729">
        <v>1339</v>
      </c>
    </row>
    <row r="1340" spans="2:2" x14ac:dyDescent="0.2">
      <c r="B1340" s="1729">
        <v>1340</v>
      </c>
    </row>
    <row r="1341" spans="2:2" x14ac:dyDescent="0.2">
      <c r="B1341" s="1729">
        <v>1341</v>
      </c>
    </row>
    <row r="1342" spans="2:2" x14ac:dyDescent="0.2">
      <c r="B1342" s="1729">
        <v>1342</v>
      </c>
    </row>
    <row r="1343" spans="2:2" x14ac:dyDescent="0.2">
      <c r="B1343" s="1729">
        <v>1343</v>
      </c>
    </row>
    <row r="1344" spans="2:2" x14ac:dyDescent="0.2">
      <c r="B1344" s="1729">
        <v>1344</v>
      </c>
    </row>
    <row r="1345" spans="2:2" x14ac:dyDescent="0.2">
      <c r="B1345" s="1729">
        <v>1345</v>
      </c>
    </row>
    <row r="1346" spans="2:2" x14ac:dyDescent="0.2">
      <c r="B1346" s="1729">
        <v>1346</v>
      </c>
    </row>
    <row r="1347" spans="2:2" x14ac:dyDescent="0.2">
      <c r="B1347" s="1729">
        <v>1347</v>
      </c>
    </row>
    <row r="1348" spans="2:2" x14ac:dyDescent="0.2">
      <c r="B1348" s="1729">
        <v>1348</v>
      </c>
    </row>
    <row r="1349" spans="2:2" x14ac:dyDescent="0.2">
      <c r="B1349" s="1729">
        <v>1349</v>
      </c>
    </row>
    <row r="1350" spans="2:2" x14ac:dyDescent="0.2">
      <c r="B1350" s="1729">
        <v>1350</v>
      </c>
    </row>
    <row r="1351" spans="2:2" x14ac:dyDescent="0.2">
      <c r="B1351" s="1729">
        <v>1351</v>
      </c>
    </row>
    <row r="1352" spans="2:2" x14ac:dyDescent="0.2">
      <c r="B1352" s="1729">
        <v>1352</v>
      </c>
    </row>
    <row r="1353" spans="2:2" x14ac:dyDescent="0.2">
      <c r="B1353" s="1729">
        <v>1353</v>
      </c>
    </row>
    <row r="1354" spans="2:2" x14ac:dyDescent="0.2">
      <c r="B1354" s="1729">
        <v>1354</v>
      </c>
    </row>
    <row r="1355" spans="2:2" x14ac:dyDescent="0.2">
      <c r="B1355" s="1729">
        <v>1355</v>
      </c>
    </row>
    <row r="1356" spans="2:2" x14ac:dyDescent="0.2">
      <c r="B1356" s="1729">
        <v>1356</v>
      </c>
    </row>
    <row r="1357" spans="2:2" x14ac:dyDescent="0.2">
      <c r="B1357" s="1729">
        <v>1357</v>
      </c>
    </row>
    <row r="1358" spans="2:2" x14ac:dyDescent="0.2">
      <c r="B1358" s="1729">
        <v>1358</v>
      </c>
    </row>
    <row r="1359" spans="2:2" x14ac:dyDescent="0.2">
      <c r="B1359" s="1729">
        <v>1359</v>
      </c>
    </row>
    <row r="1360" spans="2:2" x14ac:dyDescent="0.2">
      <c r="B1360" s="1729">
        <v>1360</v>
      </c>
    </row>
    <row r="1361" spans="2:2" x14ac:dyDescent="0.2">
      <c r="B1361" s="1729">
        <v>1361</v>
      </c>
    </row>
    <row r="1362" spans="2:2" x14ac:dyDescent="0.2">
      <c r="B1362" s="1729">
        <v>1362</v>
      </c>
    </row>
    <row r="1363" spans="2:2" x14ac:dyDescent="0.2">
      <c r="B1363" s="1729">
        <v>1363</v>
      </c>
    </row>
    <row r="1364" spans="2:2" x14ac:dyDescent="0.2">
      <c r="B1364" s="1729">
        <v>1364</v>
      </c>
    </row>
    <row r="1365" spans="2:2" x14ac:dyDescent="0.2">
      <c r="B1365" s="1729">
        <v>1365</v>
      </c>
    </row>
    <row r="1366" spans="2:2" x14ac:dyDescent="0.2">
      <c r="B1366" s="1729">
        <v>1366</v>
      </c>
    </row>
    <row r="1367" spans="2:2" x14ac:dyDescent="0.2">
      <c r="B1367" s="1729">
        <v>1367</v>
      </c>
    </row>
    <row r="1368" spans="2:2" x14ac:dyDescent="0.2">
      <c r="B1368" s="1729">
        <v>1368</v>
      </c>
    </row>
    <row r="1369" spans="2:2" x14ac:dyDescent="0.2">
      <c r="B1369" s="1729">
        <v>1369</v>
      </c>
    </row>
    <row r="1370" spans="2:2" x14ac:dyDescent="0.2">
      <c r="B1370" s="1729">
        <v>1370</v>
      </c>
    </row>
    <row r="1371" spans="2:2" x14ac:dyDescent="0.2">
      <c r="B1371" s="1729">
        <v>1371</v>
      </c>
    </row>
    <row r="1372" spans="2:2" x14ac:dyDescent="0.2">
      <c r="B1372" s="1729">
        <v>1372</v>
      </c>
    </row>
    <row r="1373" spans="2:2" x14ac:dyDescent="0.2">
      <c r="B1373" s="1729">
        <v>1373</v>
      </c>
    </row>
    <row r="1374" spans="2:2" x14ac:dyDescent="0.2">
      <c r="B1374" s="1729">
        <v>1374</v>
      </c>
    </row>
    <row r="1375" spans="2:2" x14ac:dyDescent="0.2">
      <c r="B1375" s="1729">
        <v>1375</v>
      </c>
    </row>
    <row r="1376" spans="2:2" x14ac:dyDescent="0.2">
      <c r="B1376" s="1729">
        <v>1376</v>
      </c>
    </row>
    <row r="1377" spans="2:2" x14ac:dyDescent="0.2">
      <c r="B1377" s="1729">
        <v>1377</v>
      </c>
    </row>
    <row r="1378" spans="2:2" x14ac:dyDescent="0.2">
      <c r="B1378" s="1729">
        <v>1378</v>
      </c>
    </row>
    <row r="1379" spans="2:2" x14ac:dyDescent="0.2">
      <c r="B1379" s="1729">
        <v>1379</v>
      </c>
    </row>
    <row r="1380" spans="2:2" x14ac:dyDescent="0.2">
      <c r="B1380" s="1729">
        <v>1380</v>
      </c>
    </row>
    <row r="1381" spans="2:2" x14ac:dyDescent="0.2">
      <c r="B1381" s="1729">
        <v>1381</v>
      </c>
    </row>
    <row r="1382" spans="2:2" x14ac:dyDescent="0.2">
      <c r="B1382" s="1729">
        <v>1382</v>
      </c>
    </row>
    <row r="1383" spans="2:2" x14ac:dyDescent="0.2">
      <c r="B1383" s="1729">
        <v>1383</v>
      </c>
    </row>
    <row r="1384" spans="2:2" x14ac:dyDescent="0.2">
      <c r="B1384" s="1729">
        <v>1384</v>
      </c>
    </row>
    <row r="1385" spans="2:2" x14ac:dyDescent="0.2">
      <c r="B1385" s="1729">
        <v>1385</v>
      </c>
    </row>
    <row r="1386" spans="2:2" x14ac:dyDescent="0.2">
      <c r="B1386" s="1729">
        <v>1386</v>
      </c>
    </row>
    <row r="1387" spans="2:2" x14ac:dyDescent="0.2">
      <c r="B1387" s="1729">
        <v>1387</v>
      </c>
    </row>
    <row r="1388" spans="2:2" x14ac:dyDescent="0.2">
      <c r="B1388" s="1729">
        <v>1388</v>
      </c>
    </row>
    <row r="1389" spans="2:2" x14ac:dyDescent="0.2">
      <c r="B1389" s="1729">
        <v>1389</v>
      </c>
    </row>
    <row r="1390" spans="2:2" x14ac:dyDescent="0.2">
      <c r="B1390" s="1729">
        <v>1390</v>
      </c>
    </row>
    <row r="1391" spans="2:2" x14ac:dyDescent="0.2">
      <c r="B1391" s="1729">
        <v>1391</v>
      </c>
    </row>
    <row r="1392" spans="2:2" x14ac:dyDescent="0.2">
      <c r="B1392" s="1729">
        <v>1392</v>
      </c>
    </row>
    <row r="1393" spans="2:2" x14ac:dyDescent="0.2">
      <c r="B1393" s="1729">
        <v>1393</v>
      </c>
    </row>
    <row r="1394" spans="2:2" x14ac:dyDescent="0.2">
      <c r="B1394" s="1729">
        <v>1394</v>
      </c>
    </row>
    <row r="1395" spans="2:2" x14ac:dyDescent="0.2">
      <c r="B1395" s="1729">
        <v>1395</v>
      </c>
    </row>
    <row r="1396" spans="2:2" x14ac:dyDescent="0.2">
      <c r="B1396" s="1729">
        <v>1396</v>
      </c>
    </row>
    <row r="1397" spans="2:2" x14ac:dyDescent="0.2">
      <c r="B1397" s="1729">
        <v>1397</v>
      </c>
    </row>
    <row r="1398" spans="2:2" x14ac:dyDescent="0.2">
      <c r="B1398" s="1729">
        <v>1398</v>
      </c>
    </row>
    <row r="1399" spans="2:2" x14ac:dyDescent="0.2">
      <c r="B1399" s="1729">
        <v>1399</v>
      </c>
    </row>
    <row r="1400" spans="2:2" x14ac:dyDescent="0.2">
      <c r="B1400" s="1729">
        <v>1400</v>
      </c>
    </row>
    <row r="1401" spans="2:2" x14ac:dyDescent="0.2">
      <c r="B1401" s="1729">
        <v>1401</v>
      </c>
    </row>
    <row r="1402" spans="2:2" x14ac:dyDescent="0.2">
      <c r="B1402" s="1729">
        <v>1402</v>
      </c>
    </row>
    <row r="1403" spans="2:2" x14ac:dyDescent="0.2">
      <c r="B1403" s="1729">
        <v>1403</v>
      </c>
    </row>
    <row r="1404" spans="2:2" x14ac:dyDescent="0.2">
      <c r="B1404" s="1729">
        <v>1404</v>
      </c>
    </row>
    <row r="1405" spans="2:2" x14ac:dyDescent="0.2">
      <c r="B1405" s="1729">
        <v>1405</v>
      </c>
    </row>
    <row r="1406" spans="2:2" x14ac:dyDescent="0.2">
      <c r="B1406" s="1729">
        <v>1406</v>
      </c>
    </row>
    <row r="1407" spans="2:2" x14ac:dyDescent="0.2">
      <c r="B1407" s="1729">
        <v>1407</v>
      </c>
    </row>
    <row r="1408" spans="2:2" x14ac:dyDescent="0.2">
      <c r="B1408" s="1729">
        <v>1408</v>
      </c>
    </row>
    <row r="1409" spans="2:2" x14ac:dyDescent="0.2">
      <c r="B1409" s="1729">
        <v>1409</v>
      </c>
    </row>
    <row r="1410" spans="2:2" x14ac:dyDescent="0.2">
      <c r="B1410" s="1729">
        <v>1410</v>
      </c>
    </row>
    <row r="1411" spans="2:2" x14ac:dyDescent="0.2">
      <c r="B1411" s="1729">
        <v>1411</v>
      </c>
    </row>
    <row r="1412" spans="2:2" x14ac:dyDescent="0.2">
      <c r="B1412" s="1729">
        <v>1412</v>
      </c>
    </row>
    <row r="1413" spans="2:2" x14ac:dyDescent="0.2">
      <c r="B1413" s="1729">
        <v>1413</v>
      </c>
    </row>
    <row r="1414" spans="2:2" x14ac:dyDescent="0.2">
      <c r="B1414" s="1729">
        <v>1414</v>
      </c>
    </row>
    <row r="1415" spans="2:2" x14ac:dyDescent="0.2">
      <c r="B1415" s="1729">
        <v>1415</v>
      </c>
    </row>
    <row r="1416" spans="2:2" x14ac:dyDescent="0.2">
      <c r="B1416" s="1729">
        <v>1416</v>
      </c>
    </row>
    <row r="1417" spans="2:2" x14ac:dyDescent="0.2">
      <c r="B1417" s="1729">
        <v>1417</v>
      </c>
    </row>
    <row r="1418" spans="2:2" x14ac:dyDescent="0.2">
      <c r="B1418" s="1729">
        <v>1418</v>
      </c>
    </row>
    <row r="1419" spans="2:2" x14ac:dyDescent="0.2">
      <c r="B1419" s="1729">
        <v>1419</v>
      </c>
    </row>
    <row r="1420" spans="2:2" x14ac:dyDescent="0.2">
      <c r="B1420" s="1729">
        <v>1420</v>
      </c>
    </row>
    <row r="1421" spans="2:2" x14ac:dyDescent="0.2">
      <c r="B1421" s="1729">
        <v>1421</v>
      </c>
    </row>
    <row r="1422" spans="2:2" x14ac:dyDescent="0.2">
      <c r="B1422" s="1729">
        <v>1422</v>
      </c>
    </row>
    <row r="1423" spans="2:2" x14ac:dyDescent="0.2">
      <c r="B1423" s="1729">
        <v>1423</v>
      </c>
    </row>
    <row r="1424" spans="2:2" x14ac:dyDescent="0.2">
      <c r="B1424" s="1729">
        <v>1424</v>
      </c>
    </row>
    <row r="1425" spans="2:2" x14ac:dyDescent="0.2">
      <c r="B1425" s="1729">
        <v>1425</v>
      </c>
    </row>
    <row r="1426" spans="2:2" x14ac:dyDescent="0.2">
      <c r="B1426" s="1729">
        <v>1426</v>
      </c>
    </row>
    <row r="1427" spans="2:2" x14ac:dyDescent="0.2">
      <c r="B1427" s="1729">
        <v>1427</v>
      </c>
    </row>
    <row r="1428" spans="2:2" x14ac:dyDescent="0.2">
      <c r="B1428" s="1729">
        <v>1428</v>
      </c>
    </row>
    <row r="1429" spans="2:2" x14ac:dyDescent="0.2">
      <c r="B1429" s="1729">
        <v>1429</v>
      </c>
    </row>
    <row r="1430" spans="2:2" x14ac:dyDescent="0.2">
      <c r="B1430" s="1729">
        <v>1430</v>
      </c>
    </row>
    <row r="1431" spans="2:2" x14ac:dyDescent="0.2">
      <c r="B1431" s="1729">
        <v>1431</v>
      </c>
    </row>
    <row r="1432" spans="2:2" x14ac:dyDescent="0.2">
      <c r="B1432" s="1729">
        <v>1432</v>
      </c>
    </row>
    <row r="1433" spans="2:2" x14ac:dyDescent="0.2">
      <c r="B1433" s="1729">
        <v>1433</v>
      </c>
    </row>
    <row r="1434" spans="2:2" x14ac:dyDescent="0.2">
      <c r="B1434" s="1729">
        <v>1434</v>
      </c>
    </row>
    <row r="1435" spans="2:2" x14ac:dyDescent="0.2">
      <c r="B1435" s="1729">
        <v>1435</v>
      </c>
    </row>
    <row r="1436" spans="2:2" x14ac:dyDescent="0.2">
      <c r="B1436" s="1729">
        <v>1436</v>
      </c>
    </row>
    <row r="1437" spans="2:2" x14ac:dyDescent="0.2">
      <c r="B1437" s="1729">
        <v>1437</v>
      </c>
    </row>
    <row r="1438" spans="2:2" x14ac:dyDescent="0.2">
      <c r="B1438" s="1729">
        <v>1438</v>
      </c>
    </row>
    <row r="1439" spans="2:2" x14ac:dyDescent="0.2">
      <c r="B1439" s="1729">
        <v>1439</v>
      </c>
    </row>
    <row r="1440" spans="2:2" x14ac:dyDescent="0.2">
      <c r="B1440" s="1729">
        <v>1440</v>
      </c>
    </row>
    <row r="1441" spans="2:2" x14ac:dyDescent="0.2">
      <c r="B1441" s="1729">
        <v>1441</v>
      </c>
    </row>
    <row r="1442" spans="2:2" x14ac:dyDescent="0.2">
      <c r="B1442" s="1729">
        <v>1442</v>
      </c>
    </row>
    <row r="1443" spans="2:2" x14ac:dyDescent="0.2">
      <c r="B1443" s="1729">
        <v>1443</v>
      </c>
    </row>
    <row r="1444" spans="2:2" x14ac:dyDescent="0.2">
      <c r="B1444" s="1729">
        <v>1444</v>
      </c>
    </row>
    <row r="1445" spans="2:2" x14ac:dyDescent="0.2">
      <c r="B1445" s="1729">
        <v>1445</v>
      </c>
    </row>
    <row r="1446" spans="2:2" x14ac:dyDescent="0.2">
      <c r="B1446" s="1729">
        <v>1446</v>
      </c>
    </row>
    <row r="1447" spans="2:2" x14ac:dyDescent="0.2">
      <c r="B1447" s="1729">
        <v>1447</v>
      </c>
    </row>
    <row r="1448" spans="2:2" x14ac:dyDescent="0.2">
      <c r="B1448" s="1729">
        <v>1448</v>
      </c>
    </row>
    <row r="1449" spans="2:2" x14ac:dyDescent="0.2">
      <c r="B1449" s="1729">
        <v>1449</v>
      </c>
    </row>
    <row r="1450" spans="2:2" x14ac:dyDescent="0.2">
      <c r="B1450" s="1729">
        <v>1450</v>
      </c>
    </row>
    <row r="1451" spans="2:2" x14ac:dyDescent="0.2">
      <c r="B1451" s="1729">
        <v>1451</v>
      </c>
    </row>
    <row r="1452" spans="2:2" x14ac:dyDescent="0.2">
      <c r="B1452" s="1729">
        <v>1452</v>
      </c>
    </row>
    <row r="1453" spans="2:2" x14ac:dyDescent="0.2">
      <c r="B1453" s="1729">
        <v>1453</v>
      </c>
    </row>
    <row r="1454" spans="2:2" x14ac:dyDescent="0.2">
      <c r="B1454" s="1729">
        <v>1454</v>
      </c>
    </row>
    <row r="1455" spans="2:2" x14ac:dyDescent="0.2">
      <c r="B1455" s="1729">
        <v>1455</v>
      </c>
    </row>
    <row r="1456" spans="2:2" x14ac:dyDescent="0.2">
      <c r="B1456" s="1729">
        <v>1456</v>
      </c>
    </row>
    <row r="1457" spans="2:2" x14ac:dyDescent="0.2">
      <c r="B1457" s="1729">
        <v>1457</v>
      </c>
    </row>
    <row r="1458" spans="2:2" x14ac:dyDescent="0.2">
      <c r="B1458" s="1729">
        <v>1458</v>
      </c>
    </row>
    <row r="1459" spans="2:2" x14ac:dyDescent="0.2">
      <c r="B1459" s="1729">
        <v>1459</v>
      </c>
    </row>
    <row r="1460" spans="2:2" x14ac:dyDescent="0.2">
      <c r="B1460" s="1729">
        <v>1460</v>
      </c>
    </row>
    <row r="1461" spans="2:2" x14ac:dyDescent="0.2">
      <c r="B1461" s="1729">
        <v>1461</v>
      </c>
    </row>
    <row r="1462" spans="2:2" x14ac:dyDescent="0.2">
      <c r="B1462" s="1729">
        <v>1462</v>
      </c>
    </row>
    <row r="1463" spans="2:2" x14ac:dyDescent="0.2">
      <c r="B1463" s="1729">
        <v>1463</v>
      </c>
    </row>
    <row r="1464" spans="2:2" x14ac:dyDescent="0.2">
      <c r="B1464" s="1729">
        <v>1464</v>
      </c>
    </row>
    <row r="1465" spans="2:2" x14ac:dyDescent="0.2">
      <c r="B1465" s="1729">
        <v>1465</v>
      </c>
    </row>
    <row r="1466" spans="2:2" x14ac:dyDescent="0.2">
      <c r="B1466" s="1729">
        <v>1466</v>
      </c>
    </row>
    <row r="1467" spans="2:2" x14ac:dyDescent="0.2">
      <c r="B1467" s="1729">
        <v>1467</v>
      </c>
    </row>
    <row r="1468" spans="2:2" x14ac:dyDescent="0.2">
      <c r="B1468" s="1729">
        <v>1468</v>
      </c>
    </row>
    <row r="1469" spans="2:2" x14ac:dyDescent="0.2">
      <c r="B1469" s="1729">
        <v>1469</v>
      </c>
    </row>
    <row r="1470" spans="2:2" x14ac:dyDescent="0.2">
      <c r="B1470" s="1729">
        <v>1470</v>
      </c>
    </row>
    <row r="1471" spans="2:2" x14ac:dyDescent="0.2">
      <c r="B1471" s="1729">
        <v>1471</v>
      </c>
    </row>
    <row r="1472" spans="2:2" x14ac:dyDescent="0.2">
      <c r="B1472" s="1729">
        <v>1472</v>
      </c>
    </row>
    <row r="1473" spans="2:2" x14ac:dyDescent="0.2">
      <c r="B1473" s="1729">
        <v>1473</v>
      </c>
    </row>
    <row r="1474" spans="2:2" x14ac:dyDescent="0.2">
      <c r="B1474" s="1729">
        <v>1474</v>
      </c>
    </row>
    <row r="1475" spans="2:2" x14ac:dyDescent="0.2">
      <c r="B1475" s="1729">
        <v>1475</v>
      </c>
    </row>
    <row r="1476" spans="2:2" x14ac:dyDescent="0.2">
      <c r="B1476" s="1729">
        <v>1476</v>
      </c>
    </row>
    <row r="1477" spans="2:2" x14ac:dyDescent="0.2">
      <c r="B1477" s="1729">
        <v>1477</v>
      </c>
    </row>
    <row r="1478" spans="2:2" x14ac:dyDescent="0.2">
      <c r="B1478" s="1729">
        <v>1478</v>
      </c>
    </row>
    <row r="1479" spans="2:2" x14ac:dyDescent="0.2">
      <c r="B1479" s="1729">
        <v>1479</v>
      </c>
    </row>
    <row r="1480" spans="2:2" x14ac:dyDescent="0.2">
      <c r="B1480" s="1729">
        <v>1480</v>
      </c>
    </row>
    <row r="1481" spans="2:2" x14ac:dyDescent="0.2">
      <c r="B1481" s="1729">
        <v>1481</v>
      </c>
    </row>
    <row r="1482" spans="2:2" x14ac:dyDescent="0.2">
      <c r="B1482" s="1729">
        <v>1482</v>
      </c>
    </row>
    <row r="1483" spans="2:2" x14ac:dyDescent="0.2">
      <c r="B1483" s="1729">
        <v>1483</v>
      </c>
    </row>
    <row r="1484" spans="2:2" x14ac:dyDescent="0.2">
      <c r="B1484" s="1729">
        <v>1484</v>
      </c>
    </row>
    <row r="1485" spans="2:2" x14ac:dyDescent="0.2">
      <c r="B1485" s="1729">
        <v>1485</v>
      </c>
    </row>
    <row r="1486" spans="2:2" x14ac:dyDescent="0.2">
      <c r="B1486" s="1729">
        <v>1486</v>
      </c>
    </row>
    <row r="1487" spans="2:2" x14ac:dyDescent="0.2">
      <c r="B1487" s="1729">
        <v>1487</v>
      </c>
    </row>
    <row r="1488" spans="2:2" x14ac:dyDescent="0.2">
      <c r="B1488" s="1729">
        <v>1488</v>
      </c>
    </row>
    <row r="1489" spans="2:2" x14ac:dyDescent="0.2">
      <c r="B1489" s="1729">
        <v>1489</v>
      </c>
    </row>
    <row r="1490" spans="2:2" x14ac:dyDescent="0.2">
      <c r="B1490" s="1729">
        <v>1490</v>
      </c>
    </row>
    <row r="1491" spans="2:2" x14ac:dyDescent="0.2">
      <c r="B1491" s="1729">
        <v>1491</v>
      </c>
    </row>
    <row r="1492" spans="2:2" x14ac:dyDescent="0.2">
      <c r="B1492" s="1729">
        <v>1492</v>
      </c>
    </row>
    <row r="1493" spans="2:2" x14ac:dyDescent="0.2">
      <c r="B1493" s="1729">
        <v>1493</v>
      </c>
    </row>
    <row r="1494" spans="2:2" x14ac:dyDescent="0.2">
      <c r="B1494" s="1729">
        <v>1494</v>
      </c>
    </row>
    <row r="1495" spans="2:2" x14ac:dyDescent="0.2">
      <c r="B1495" s="1729">
        <v>1495</v>
      </c>
    </row>
    <row r="1496" spans="2:2" x14ac:dyDescent="0.2">
      <c r="B1496" s="1729">
        <v>1496</v>
      </c>
    </row>
    <row r="1497" spans="2:2" x14ac:dyDescent="0.2">
      <c r="B1497" s="1729">
        <v>1497</v>
      </c>
    </row>
    <row r="1498" spans="2:2" x14ac:dyDescent="0.2">
      <c r="B1498" s="1729">
        <v>1498</v>
      </c>
    </row>
    <row r="1499" spans="2:2" x14ac:dyDescent="0.2">
      <c r="B1499" s="1729">
        <v>1499</v>
      </c>
    </row>
    <row r="1500" spans="2:2" x14ac:dyDescent="0.2">
      <c r="B1500" s="1729">
        <v>1500</v>
      </c>
    </row>
    <row r="1501" spans="2:2" x14ac:dyDescent="0.2">
      <c r="B1501" s="1729">
        <v>1501</v>
      </c>
    </row>
    <row r="1502" spans="2:2" x14ac:dyDescent="0.2">
      <c r="B1502" s="1729">
        <v>1502</v>
      </c>
    </row>
    <row r="1503" spans="2:2" x14ac:dyDescent="0.2">
      <c r="B1503" s="1729">
        <v>1503</v>
      </c>
    </row>
    <row r="1504" spans="2:2" x14ac:dyDescent="0.2">
      <c r="B1504" s="1729">
        <v>1504</v>
      </c>
    </row>
    <row r="1505" spans="2:2" x14ac:dyDescent="0.2">
      <c r="B1505" s="1729">
        <v>1505</v>
      </c>
    </row>
    <row r="1506" spans="2:2" x14ac:dyDescent="0.2">
      <c r="B1506" s="1729">
        <v>1506</v>
      </c>
    </row>
    <row r="1507" spans="2:2" x14ac:dyDescent="0.2">
      <c r="B1507" s="1729">
        <v>1507</v>
      </c>
    </row>
    <row r="1508" spans="2:2" x14ac:dyDescent="0.2">
      <c r="B1508" s="1729">
        <v>1508</v>
      </c>
    </row>
    <row r="1509" spans="2:2" x14ac:dyDescent="0.2">
      <c r="B1509" s="1729">
        <v>1509</v>
      </c>
    </row>
    <row r="1510" spans="2:2" x14ac:dyDescent="0.2">
      <c r="B1510" s="1729">
        <v>1510</v>
      </c>
    </row>
    <row r="1511" spans="2:2" x14ac:dyDescent="0.2">
      <c r="B1511" s="1729">
        <v>1511</v>
      </c>
    </row>
    <row r="1512" spans="2:2" x14ac:dyDescent="0.2">
      <c r="B1512" s="1729">
        <v>1512</v>
      </c>
    </row>
    <row r="1513" spans="2:2" x14ac:dyDescent="0.2">
      <c r="B1513" s="1729">
        <v>1513</v>
      </c>
    </row>
    <row r="1514" spans="2:2" x14ac:dyDescent="0.2">
      <c r="B1514" s="1729">
        <v>1514</v>
      </c>
    </row>
    <row r="1515" spans="2:2" x14ac:dyDescent="0.2">
      <c r="B1515" s="1729">
        <v>1515</v>
      </c>
    </row>
    <row r="1516" spans="2:2" x14ac:dyDescent="0.2">
      <c r="B1516" s="1729">
        <v>1516</v>
      </c>
    </row>
    <row r="1517" spans="2:2" x14ac:dyDescent="0.2">
      <c r="B1517" s="1729">
        <v>1517</v>
      </c>
    </row>
    <row r="1518" spans="2:2" x14ac:dyDescent="0.2">
      <c r="B1518" s="1729">
        <v>1518</v>
      </c>
    </row>
    <row r="1519" spans="2:2" x14ac:dyDescent="0.2">
      <c r="B1519" s="1729">
        <v>1519</v>
      </c>
    </row>
    <row r="1520" spans="2:2" x14ac:dyDescent="0.2">
      <c r="B1520" s="1729">
        <v>1520</v>
      </c>
    </row>
    <row r="1521" spans="2:2" x14ac:dyDescent="0.2">
      <c r="B1521" s="1729">
        <v>1521</v>
      </c>
    </row>
    <row r="1522" spans="2:2" x14ac:dyDescent="0.2">
      <c r="B1522" s="1729">
        <v>1522</v>
      </c>
    </row>
    <row r="1523" spans="2:2" x14ac:dyDescent="0.2">
      <c r="B1523" s="1729">
        <v>1523</v>
      </c>
    </row>
    <row r="1524" spans="2:2" x14ac:dyDescent="0.2">
      <c r="B1524" s="1729">
        <v>1524</v>
      </c>
    </row>
    <row r="1525" spans="2:2" x14ac:dyDescent="0.2">
      <c r="B1525" s="1729">
        <v>1525</v>
      </c>
    </row>
    <row r="1526" spans="2:2" x14ac:dyDescent="0.2">
      <c r="B1526" s="1729">
        <v>1526</v>
      </c>
    </row>
    <row r="1527" spans="2:2" x14ac:dyDescent="0.2">
      <c r="B1527" s="1729">
        <v>1527</v>
      </c>
    </row>
    <row r="1528" spans="2:2" x14ac:dyDescent="0.2">
      <c r="B1528" s="1729">
        <v>1528</v>
      </c>
    </row>
    <row r="1529" spans="2:2" x14ac:dyDescent="0.2">
      <c r="B1529" s="1729">
        <v>1529</v>
      </c>
    </row>
    <row r="1530" spans="2:2" x14ac:dyDescent="0.2">
      <c r="B1530" s="1729">
        <v>1530</v>
      </c>
    </row>
    <row r="1531" spans="2:2" x14ac:dyDescent="0.2">
      <c r="B1531" s="1729">
        <v>1531</v>
      </c>
    </row>
    <row r="1532" spans="2:2" x14ac:dyDescent="0.2">
      <c r="B1532" s="1729">
        <v>1532</v>
      </c>
    </row>
    <row r="1533" spans="2:2" x14ac:dyDescent="0.2">
      <c r="B1533" s="1729">
        <v>1533</v>
      </c>
    </row>
    <row r="1534" spans="2:2" x14ac:dyDescent="0.2">
      <c r="B1534" s="1729">
        <v>1534</v>
      </c>
    </row>
    <row r="1535" spans="2:2" x14ac:dyDescent="0.2">
      <c r="B1535" s="1729">
        <v>1535</v>
      </c>
    </row>
    <row r="1536" spans="2:2" x14ac:dyDescent="0.2">
      <c r="B1536" s="1729">
        <v>1536</v>
      </c>
    </row>
    <row r="1537" spans="2:2" x14ac:dyDescent="0.2">
      <c r="B1537" s="1729">
        <v>1537</v>
      </c>
    </row>
    <row r="1538" spans="2:2" x14ac:dyDescent="0.2">
      <c r="B1538" s="1729">
        <v>1538</v>
      </c>
    </row>
    <row r="1539" spans="2:2" x14ac:dyDescent="0.2">
      <c r="B1539" s="1729">
        <v>1539</v>
      </c>
    </row>
    <row r="1540" spans="2:2" x14ac:dyDescent="0.2">
      <c r="B1540" s="1729">
        <v>1540</v>
      </c>
    </row>
    <row r="1541" spans="2:2" x14ac:dyDescent="0.2">
      <c r="B1541" s="1729">
        <v>1541</v>
      </c>
    </row>
    <row r="1542" spans="2:2" x14ac:dyDescent="0.2">
      <c r="B1542" s="1729">
        <v>1542</v>
      </c>
    </row>
    <row r="1543" spans="2:2" x14ac:dyDescent="0.2">
      <c r="B1543" s="1729">
        <v>1543</v>
      </c>
    </row>
    <row r="1544" spans="2:2" x14ac:dyDescent="0.2">
      <c r="B1544" s="1729">
        <v>1544</v>
      </c>
    </row>
    <row r="1545" spans="2:2" x14ac:dyDescent="0.2">
      <c r="B1545" s="1729">
        <v>1545</v>
      </c>
    </row>
    <row r="1546" spans="2:2" x14ac:dyDescent="0.2">
      <c r="B1546" s="1729">
        <v>1546</v>
      </c>
    </row>
    <row r="1547" spans="2:2" x14ac:dyDescent="0.2">
      <c r="B1547" s="1729">
        <v>1547</v>
      </c>
    </row>
    <row r="1548" spans="2:2" x14ac:dyDescent="0.2">
      <c r="B1548" s="1729">
        <v>1548</v>
      </c>
    </row>
    <row r="1549" spans="2:2" x14ac:dyDescent="0.2">
      <c r="B1549" s="1729">
        <v>1549</v>
      </c>
    </row>
    <row r="1550" spans="2:2" x14ac:dyDescent="0.2">
      <c r="B1550" s="1729">
        <v>1550</v>
      </c>
    </row>
    <row r="1551" spans="2:2" x14ac:dyDescent="0.2">
      <c r="B1551" s="1729">
        <v>1551</v>
      </c>
    </row>
    <row r="1552" spans="2:2" x14ac:dyDescent="0.2">
      <c r="B1552" s="1729">
        <v>1552</v>
      </c>
    </row>
    <row r="1553" spans="2:2" x14ac:dyDescent="0.2">
      <c r="B1553" s="1729">
        <v>1553</v>
      </c>
    </row>
    <row r="1554" spans="2:2" x14ac:dyDescent="0.2">
      <c r="B1554" s="1729">
        <v>1554</v>
      </c>
    </row>
    <row r="1555" spans="2:2" x14ac:dyDescent="0.2">
      <c r="B1555" s="1729">
        <v>1555</v>
      </c>
    </row>
    <row r="1556" spans="2:2" x14ac:dyDescent="0.2">
      <c r="B1556" s="1729">
        <v>1556</v>
      </c>
    </row>
    <row r="1557" spans="2:2" x14ac:dyDescent="0.2">
      <c r="B1557" s="1729">
        <v>1557</v>
      </c>
    </row>
    <row r="1558" spans="2:2" x14ac:dyDescent="0.2">
      <c r="B1558" s="1729">
        <v>1558</v>
      </c>
    </row>
    <row r="1559" spans="2:2" x14ac:dyDescent="0.2">
      <c r="B1559" s="1729">
        <v>1559</v>
      </c>
    </row>
    <row r="1560" spans="2:2" x14ac:dyDescent="0.2">
      <c r="B1560" s="1729">
        <v>1560</v>
      </c>
    </row>
    <row r="1561" spans="2:2" x14ac:dyDescent="0.2">
      <c r="B1561" s="1729">
        <v>1561</v>
      </c>
    </row>
    <row r="1562" spans="2:2" x14ac:dyDescent="0.2">
      <c r="B1562" s="1729">
        <v>1562</v>
      </c>
    </row>
    <row r="1563" spans="2:2" x14ac:dyDescent="0.2">
      <c r="B1563" s="1729">
        <v>1563</v>
      </c>
    </row>
    <row r="1564" spans="2:2" x14ac:dyDescent="0.2">
      <c r="B1564" s="1729">
        <v>1564</v>
      </c>
    </row>
    <row r="1565" spans="2:2" x14ac:dyDescent="0.2">
      <c r="B1565" s="1729">
        <v>1565</v>
      </c>
    </row>
    <row r="1566" spans="2:2" x14ac:dyDescent="0.2">
      <c r="B1566" s="1729">
        <v>1566</v>
      </c>
    </row>
    <row r="1567" spans="2:2" x14ac:dyDescent="0.2">
      <c r="B1567" s="1729">
        <v>1567</v>
      </c>
    </row>
    <row r="1568" spans="2:2" x14ac:dyDescent="0.2">
      <c r="B1568" s="1729">
        <v>1568</v>
      </c>
    </row>
    <row r="1569" spans="2:2" x14ac:dyDescent="0.2">
      <c r="B1569" s="1729">
        <v>1569</v>
      </c>
    </row>
    <row r="1570" spans="2:2" x14ac:dyDescent="0.2">
      <c r="B1570" s="1729">
        <v>1570</v>
      </c>
    </row>
    <row r="1571" spans="2:2" x14ac:dyDescent="0.2">
      <c r="B1571" s="1729">
        <v>1571</v>
      </c>
    </row>
    <row r="1572" spans="2:2" x14ac:dyDescent="0.2">
      <c r="B1572" s="1729">
        <v>1572</v>
      </c>
    </row>
    <row r="1573" spans="2:2" x14ac:dyDescent="0.2">
      <c r="B1573" s="1729">
        <v>1573</v>
      </c>
    </row>
    <row r="1574" spans="2:2" x14ac:dyDescent="0.2">
      <c r="B1574" s="1729">
        <v>1574</v>
      </c>
    </row>
    <row r="1575" spans="2:2" x14ac:dyDescent="0.2">
      <c r="B1575" s="1729">
        <v>1575</v>
      </c>
    </row>
    <row r="1576" spans="2:2" x14ac:dyDescent="0.2">
      <c r="B1576" s="1729">
        <v>1576</v>
      </c>
    </row>
    <row r="1577" spans="2:2" x14ac:dyDescent="0.2">
      <c r="B1577" s="1729">
        <v>1577</v>
      </c>
    </row>
    <row r="1578" spans="2:2" x14ac:dyDescent="0.2">
      <c r="B1578" s="1729">
        <v>1578</v>
      </c>
    </row>
    <row r="1579" spans="2:2" x14ac:dyDescent="0.2">
      <c r="B1579" s="1729">
        <v>1579</v>
      </c>
    </row>
    <row r="1580" spans="2:2" x14ac:dyDescent="0.2">
      <c r="B1580" s="1729">
        <v>1580</v>
      </c>
    </row>
    <row r="1581" spans="2:2" x14ac:dyDescent="0.2">
      <c r="B1581" s="1729">
        <v>1581</v>
      </c>
    </row>
    <row r="1582" spans="2:2" x14ac:dyDescent="0.2">
      <c r="B1582" s="1729">
        <v>1582</v>
      </c>
    </row>
    <row r="1583" spans="2:2" x14ac:dyDescent="0.2">
      <c r="B1583" s="1729">
        <v>1583</v>
      </c>
    </row>
    <row r="1584" spans="2:2" x14ac:dyDescent="0.2">
      <c r="B1584" s="1729">
        <v>1584</v>
      </c>
    </row>
    <row r="1585" spans="2:2" x14ac:dyDescent="0.2">
      <c r="B1585" s="1729">
        <v>1585</v>
      </c>
    </row>
    <row r="1586" spans="2:2" x14ac:dyDescent="0.2">
      <c r="B1586" s="1729">
        <v>1586</v>
      </c>
    </row>
    <row r="1587" spans="2:2" x14ac:dyDescent="0.2">
      <c r="B1587" s="1729">
        <v>1587</v>
      </c>
    </row>
    <row r="1588" spans="2:2" x14ac:dyDescent="0.2">
      <c r="B1588" s="1729">
        <v>1588</v>
      </c>
    </row>
    <row r="1589" spans="2:2" x14ac:dyDescent="0.2">
      <c r="B1589" s="1729">
        <v>1589</v>
      </c>
    </row>
    <row r="1590" spans="2:2" x14ac:dyDescent="0.2">
      <c r="B1590" s="1729">
        <v>1590</v>
      </c>
    </row>
    <row r="1591" spans="2:2" x14ac:dyDescent="0.2">
      <c r="B1591" s="1729">
        <v>1591</v>
      </c>
    </row>
    <row r="1592" spans="2:2" x14ac:dyDescent="0.2">
      <c r="B1592" s="1729">
        <v>1592</v>
      </c>
    </row>
    <row r="1593" spans="2:2" x14ac:dyDescent="0.2">
      <c r="B1593" s="1729">
        <v>1593</v>
      </c>
    </row>
    <row r="1594" spans="2:2" x14ac:dyDescent="0.2">
      <c r="B1594" s="1729">
        <v>1594</v>
      </c>
    </row>
    <row r="1595" spans="2:2" x14ac:dyDescent="0.2">
      <c r="B1595" s="1729">
        <v>1595</v>
      </c>
    </row>
    <row r="1596" spans="2:2" x14ac:dyDescent="0.2">
      <c r="B1596" s="1729">
        <v>1596</v>
      </c>
    </row>
    <row r="1597" spans="2:2" x14ac:dyDescent="0.2">
      <c r="B1597" s="1729">
        <v>1597</v>
      </c>
    </row>
    <row r="1598" spans="2:2" x14ac:dyDescent="0.2">
      <c r="B1598" s="1729">
        <v>1598</v>
      </c>
    </row>
    <row r="1599" spans="2:2" x14ac:dyDescent="0.2">
      <c r="B1599" s="1729">
        <v>1599</v>
      </c>
    </row>
    <row r="1600" spans="2:2" x14ac:dyDescent="0.2">
      <c r="B1600" s="1729">
        <v>1600</v>
      </c>
    </row>
    <row r="1601" spans="2:2" x14ac:dyDescent="0.2">
      <c r="B1601" s="1729">
        <v>1601</v>
      </c>
    </row>
    <row r="1602" spans="2:2" x14ac:dyDescent="0.2">
      <c r="B1602" s="1729">
        <v>1602</v>
      </c>
    </row>
    <row r="1603" spans="2:2" x14ac:dyDescent="0.2">
      <c r="B1603" s="1729">
        <v>1603</v>
      </c>
    </row>
    <row r="1604" spans="2:2" x14ac:dyDescent="0.2">
      <c r="B1604" s="1729">
        <v>1604</v>
      </c>
    </row>
    <row r="1605" spans="2:2" x14ac:dyDescent="0.2">
      <c r="B1605" s="1729">
        <v>1605</v>
      </c>
    </row>
    <row r="1606" spans="2:2" x14ac:dyDescent="0.2">
      <c r="B1606" s="1729">
        <v>1606</v>
      </c>
    </row>
    <row r="1607" spans="2:2" x14ac:dyDescent="0.2">
      <c r="B1607" s="1729">
        <v>1607</v>
      </c>
    </row>
    <row r="1608" spans="2:2" x14ac:dyDescent="0.2">
      <c r="B1608" s="1729">
        <v>1608</v>
      </c>
    </row>
    <row r="1609" spans="2:2" x14ac:dyDescent="0.2">
      <c r="B1609" s="1729">
        <v>1609</v>
      </c>
    </row>
    <row r="1610" spans="2:2" x14ac:dyDescent="0.2">
      <c r="B1610" s="1729">
        <v>1610</v>
      </c>
    </row>
    <row r="1611" spans="2:2" x14ac:dyDescent="0.2">
      <c r="B1611" s="1729">
        <v>1611</v>
      </c>
    </row>
    <row r="1612" spans="2:2" x14ac:dyDescent="0.2">
      <c r="B1612" s="1729">
        <v>1612</v>
      </c>
    </row>
    <row r="1613" spans="2:2" x14ac:dyDescent="0.2">
      <c r="B1613" s="1729">
        <v>1613</v>
      </c>
    </row>
    <row r="1614" spans="2:2" x14ac:dyDescent="0.2">
      <c r="B1614" s="1729">
        <v>1614</v>
      </c>
    </row>
    <row r="1615" spans="2:2" x14ac:dyDescent="0.2">
      <c r="B1615" s="1729">
        <v>1615</v>
      </c>
    </row>
    <row r="1616" spans="2:2" x14ac:dyDescent="0.2">
      <c r="B1616" s="1729">
        <v>1616</v>
      </c>
    </row>
    <row r="1617" spans="2:2" x14ac:dyDescent="0.2">
      <c r="B1617" s="1729">
        <v>1617</v>
      </c>
    </row>
    <row r="1618" spans="2:2" x14ac:dyDescent="0.2">
      <c r="B1618" s="1729">
        <v>1618</v>
      </c>
    </row>
    <row r="1619" spans="2:2" x14ac:dyDescent="0.2">
      <c r="B1619" s="1729">
        <v>1619</v>
      </c>
    </row>
    <row r="1620" spans="2:2" x14ac:dyDescent="0.2">
      <c r="B1620" s="1729">
        <v>1620</v>
      </c>
    </row>
    <row r="1621" spans="2:2" x14ac:dyDescent="0.2">
      <c r="B1621" s="1729">
        <v>1621</v>
      </c>
    </row>
    <row r="1622" spans="2:2" x14ac:dyDescent="0.2">
      <c r="B1622" s="1729">
        <v>1622</v>
      </c>
    </row>
    <row r="1623" spans="2:2" x14ac:dyDescent="0.2">
      <c r="B1623" s="1729">
        <v>1623</v>
      </c>
    </row>
    <row r="1624" spans="2:2" x14ac:dyDescent="0.2">
      <c r="B1624" s="1729">
        <v>1624</v>
      </c>
    </row>
    <row r="1625" spans="2:2" x14ac:dyDescent="0.2">
      <c r="B1625" s="1729">
        <v>1625</v>
      </c>
    </row>
    <row r="1626" spans="2:2" x14ac:dyDescent="0.2">
      <c r="B1626" s="1729">
        <v>1626</v>
      </c>
    </row>
    <row r="1627" spans="2:2" x14ac:dyDescent="0.2">
      <c r="B1627" s="1729">
        <v>1627</v>
      </c>
    </row>
    <row r="1628" spans="2:2" x14ac:dyDescent="0.2">
      <c r="B1628" s="1729">
        <v>1628</v>
      </c>
    </row>
    <row r="1629" spans="2:2" x14ac:dyDescent="0.2">
      <c r="B1629" s="1729">
        <v>1629</v>
      </c>
    </row>
    <row r="1630" spans="2:2" x14ac:dyDescent="0.2">
      <c r="B1630" s="1729">
        <v>1630</v>
      </c>
    </row>
    <row r="1631" spans="2:2" x14ac:dyDescent="0.2">
      <c r="B1631" s="1729">
        <v>1631</v>
      </c>
    </row>
    <row r="1632" spans="2:2" x14ac:dyDescent="0.2">
      <c r="B1632" s="1729">
        <v>1632</v>
      </c>
    </row>
    <row r="1633" spans="2:2" x14ac:dyDescent="0.2">
      <c r="B1633" s="1729">
        <v>1633</v>
      </c>
    </row>
    <row r="1634" spans="2:2" x14ac:dyDescent="0.2">
      <c r="B1634" s="1729">
        <v>1634</v>
      </c>
    </row>
    <row r="1635" spans="2:2" x14ac:dyDescent="0.2">
      <c r="B1635" s="1729">
        <v>1635</v>
      </c>
    </row>
    <row r="1636" spans="2:2" x14ac:dyDescent="0.2">
      <c r="B1636" s="1729">
        <v>1636</v>
      </c>
    </row>
    <row r="1637" spans="2:2" x14ac:dyDescent="0.2">
      <c r="B1637" s="1729">
        <v>1637</v>
      </c>
    </row>
    <row r="1638" spans="2:2" x14ac:dyDescent="0.2">
      <c r="B1638" s="1729">
        <v>1638</v>
      </c>
    </row>
    <row r="1639" spans="2:2" x14ac:dyDescent="0.2">
      <c r="B1639" s="1729">
        <v>1639</v>
      </c>
    </row>
    <row r="1640" spans="2:2" x14ac:dyDescent="0.2">
      <c r="B1640" s="1729">
        <v>1640</v>
      </c>
    </row>
    <row r="1641" spans="2:2" x14ac:dyDescent="0.2">
      <c r="B1641" s="1729">
        <v>1641</v>
      </c>
    </row>
    <row r="1642" spans="2:2" x14ac:dyDescent="0.2">
      <c r="B1642" s="1729">
        <v>1642</v>
      </c>
    </row>
    <row r="1643" spans="2:2" x14ac:dyDescent="0.2">
      <c r="B1643" s="1729">
        <v>1643</v>
      </c>
    </row>
    <row r="1644" spans="2:2" x14ac:dyDescent="0.2">
      <c r="B1644" s="1729">
        <v>1644</v>
      </c>
    </row>
    <row r="1645" spans="2:2" x14ac:dyDescent="0.2">
      <c r="B1645" s="1729">
        <v>1645</v>
      </c>
    </row>
    <row r="1646" spans="2:2" x14ac:dyDescent="0.2">
      <c r="B1646" s="1729">
        <v>1646</v>
      </c>
    </row>
    <row r="1647" spans="2:2" x14ac:dyDescent="0.2">
      <c r="B1647" s="1729">
        <v>1647</v>
      </c>
    </row>
    <row r="1648" spans="2:2" x14ac:dyDescent="0.2">
      <c r="B1648" s="1729">
        <v>1648</v>
      </c>
    </row>
    <row r="1649" spans="2:2" x14ac:dyDescent="0.2">
      <c r="B1649" s="1729">
        <v>1649</v>
      </c>
    </row>
    <row r="1650" spans="2:2" x14ac:dyDescent="0.2">
      <c r="B1650" s="1729">
        <v>1650</v>
      </c>
    </row>
    <row r="1651" spans="2:2" x14ac:dyDescent="0.2">
      <c r="B1651" s="1729">
        <v>1651</v>
      </c>
    </row>
    <row r="1652" spans="2:2" x14ac:dyDescent="0.2">
      <c r="B1652" s="1729">
        <v>1652</v>
      </c>
    </row>
    <row r="1653" spans="2:2" x14ac:dyDescent="0.2">
      <c r="B1653" s="1729">
        <v>1653</v>
      </c>
    </row>
    <row r="1654" spans="2:2" x14ac:dyDescent="0.2">
      <c r="B1654" s="1729">
        <v>1654</v>
      </c>
    </row>
    <row r="1655" spans="2:2" x14ac:dyDescent="0.2">
      <c r="B1655" s="1729">
        <v>1655</v>
      </c>
    </row>
    <row r="1656" spans="2:2" x14ac:dyDescent="0.2">
      <c r="B1656" s="1729">
        <v>1656</v>
      </c>
    </row>
    <row r="1657" spans="2:2" x14ac:dyDescent="0.2">
      <c r="B1657" s="1729">
        <v>1657</v>
      </c>
    </row>
    <row r="1658" spans="2:2" x14ac:dyDescent="0.2">
      <c r="B1658" s="1729">
        <v>1658</v>
      </c>
    </row>
    <row r="1659" spans="2:2" x14ac:dyDescent="0.2">
      <c r="B1659" s="1729">
        <v>1659</v>
      </c>
    </row>
    <row r="1660" spans="2:2" x14ac:dyDescent="0.2">
      <c r="B1660" s="1729">
        <v>1660</v>
      </c>
    </row>
    <row r="1661" spans="2:2" x14ac:dyDescent="0.2">
      <c r="B1661" s="1729">
        <v>1661</v>
      </c>
    </row>
    <row r="1662" spans="2:2" x14ac:dyDescent="0.2">
      <c r="B1662" s="1729">
        <v>1662</v>
      </c>
    </row>
    <row r="1663" spans="2:2" x14ac:dyDescent="0.2">
      <c r="B1663" s="1729">
        <v>1663</v>
      </c>
    </row>
    <row r="1664" spans="2:2" x14ac:dyDescent="0.2">
      <c r="B1664" s="1729">
        <v>1664</v>
      </c>
    </row>
    <row r="1665" spans="2:2" x14ac:dyDescent="0.2">
      <c r="B1665" s="1729">
        <v>1665</v>
      </c>
    </row>
    <row r="1666" spans="2:2" x14ac:dyDescent="0.2">
      <c r="B1666" s="1729">
        <v>1666</v>
      </c>
    </row>
    <row r="1667" spans="2:2" x14ac:dyDescent="0.2">
      <c r="B1667" s="1729">
        <v>1667</v>
      </c>
    </row>
    <row r="1668" spans="2:2" x14ac:dyDescent="0.2">
      <c r="B1668" s="1729">
        <v>1668</v>
      </c>
    </row>
    <row r="1669" spans="2:2" x14ac:dyDescent="0.2">
      <c r="B1669" s="1729">
        <v>1669</v>
      </c>
    </row>
    <row r="1670" spans="2:2" x14ac:dyDescent="0.2">
      <c r="B1670" s="1729">
        <v>1670</v>
      </c>
    </row>
    <row r="1671" spans="2:2" x14ac:dyDescent="0.2">
      <c r="B1671" s="1729">
        <v>1671</v>
      </c>
    </row>
    <row r="1672" spans="2:2" x14ac:dyDescent="0.2">
      <c r="B1672" s="1729">
        <v>1672</v>
      </c>
    </row>
    <row r="1673" spans="2:2" x14ac:dyDescent="0.2">
      <c r="B1673" s="1729">
        <v>1673</v>
      </c>
    </row>
    <row r="1674" spans="2:2" x14ac:dyDescent="0.2">
      <c r="B1674" s="1729">
        <v>1674</v>
      </c>
    </row>
    <row r="1675" spans="2:2" x14ac:dyDescent="0.2">
      <c r="B1675" s="1729">
        <v>1675</v>
      </c>
    </row>
    <row r="1676" spans="2:2" x14ac:dyDescent="0.2">
      <c r="B1676" s="1729">
        <v>1676</v>
      </c>
    </row>
    <row r="1677" spans="2:2" x14ac:dyDescent="0.2">
      <c r="B1677" s="1729">
        <v>1677</v>
      </c>
    </row>
    <row r="1678" spans="2:2" x14ac:dyDescent="0.2">
      <c r="B1678" s="1729">
        <v>1678</v>
      </c>
    </row>
    <row r="1679" spans="2:2" x14ac:dyDescent="0.2">
      <c r="B1679" s="1729">
        <v>1679</v>
      </c>
    </row>
    <row r="1680" spans="2:2" x14ac:dyDescent="0.2">
      <c r="B1680" s="1729">
        <v>1680</v>
      </c>
    </row>
    <row r="1681" spans="2:2" x14ac:dyDescent="0.2">
      <c r="B1681" s="1729">
        <v>1681</v>
      </c>
    </row>
    <row r="1682" spans="2:2" x14ac:dyDescent="0.2">
      <c r="B1682" s="1729">
        <v>1682</v>
      </c>
    </row>
    <row r="1683" spans="2:2" x14ac:dyDescent="0.2">
      <c r="B1683" s="1729">
        <v>1683</v>
      </c>
    </row>
    <row r="1684" spans="2:2" x14ac:dyDescent="0.2">
      <c r="B1684" s="1729">
        <v>1684</v>
      </c>
    </row>
    <row r="1685" spans="2:2" x14ac:dyDescent="0.2">
      <c r="B1685" s="1729">
        <v>1685</v>
      </c>
    </row>
    <row r="1686" spans="2:2" x14ac:dyDescent="0.2">
      <c r="B1686" s="1729">
        <v>1686</v>
      </c>
    </row>
    <row r="1687" spans="2:2" x14ac:dyDescent="0.2">
      <c r="B1687" s="1729">
        <v>1687</v>
      </c>
    </row>
    <row r="1688" spans="2:2" x14ac:dyDescent="0.2">
      <c r="B1688" s="1729">
        <v>1688</v>
      </c>
    </row>
    <row r="1689" spans="2:2" x14ac:dyDescent="0.2">
      <c r="B1689" s="1729">
        <v>1689</v>
      </c>
    </row>
    <row r="1690" spans="2:2" x14ac:dyDescent="0.2">
      <c r="B1690" s="1729">
        <v>1690</v>
      </c>
    </row>
    <row r="1691" spans="2:2" x14ac:dyDescent="0.2">
      <c r="B1691" s="1729">
        <v>1691</v>
      </c>
    </row>
    <row r="1692" spans="2:2" x14ac:dyDescent="0.2">
      <c r="B1692" s="1729">
        <v>1692</v>
      </c>
    </row>
    <row r="1693" spans="2:2" x14ac:dyDescent="0.2">
      <c r="B1693" s="1729">
        <v>1693</v>
      </c>
    </row>
    <row r="1694" spans="2:2" x14ac:dyDescent="0.2">
      <c r="B1694" s="1729">
        <v>1694</v>
      </c>
    </row>
    <row r="1695" spans="2:2" x14ac:dyDescent="0.2">
      <c r="B1695" s="1729">
        <v>1695</v>
      </c>
    </row>
    <row r="1696" spans="2:2" x14ac:dyDescent="0.2">
      <c r="B1696" s="1729">
        <v>1696</v>
      </c>
    </row>
    <row r="1697" spans="2:2" x14ac:dyDescent="0.2">
      <c r="B1697" s="1729">
        <v>1697</v>
      </c>
    </row>
    <row r="1698" spans="2:2" x14ac:dyDescent="0.2">
      <c r="B1698" s="1729">
        <v>1698</v>
      </c>
    </row>
    <row r="1699" spans="2:2" x14ac:dyDescent="0.2">
      <c r="B1699" s="1729">
        <v>1699</v>
      </c>
    </row>
    <row r="1700" spans="2:2" x14ac:dyDescent="0.2">
      <c r="B1700" s="1729">
        <v>1700</v>
      </c>
    </row>
    <row r="1701" spans="2:2" x14ac:dyDescent="0.2">
      <c r="B1701" s="1729">
        <v>1701</v>
      </c>
    </row>
    <row r="1702" spans="2:2" x14ac:dyDescent="0.2">
      <c r="B1702" s="1729">
        <v>1702</v>
      </c>
    </row>
    <row r="1703" spans="2:2" x14ac:dyDescent="0.2">
      <c r="B1703" s="1729">
        <v>1703</v>
      </c>
    </row>
    <row r="1704" spans="2:2" x14ac:dyDescent="0.2">
      <c r="B1704" s="1729">
        <v>1704</v>
      </c>
    </row>
    <row r="1705" spans="2:2" x14ac:dyDescent="0.2">
      <c r="B1705" s="1729">
        <v>1705</v>
      </c>
    </row>
    <row r="1706" spans="2:2" x14ac:dyDescent="0.2">
      <c r="B1706" s="1729">
        <v>1706</v>
      </c>
    </row>
    <row r="1707" spans="2:2" x14ac:dyDescent="0.2">
      <c r="B1707" s="1729">
        <v>1707</v>
      </c>
    </row>
    <row r="1708" spans="2:2" x14ac:dyDescent="0.2">
      <c r="B1708" s="1729">
        <v>1708</v>
      </c>
    </row>
    <row r="1709" spans="2:2" x14ac:dyDescent="0.2">
      <c r="B1709" s="1729">
        <v>1709</v>
      </c>
    </row>
    <row r="1710" spans="2:2" x14ac:dyDescent="0.2">
      <c r="B1710" s="1729">
        <v>1710</v>
      </c>
    </row>
    <row r="1711" spans="2:2" x14ac:dyDescent="0.2">
      <c r="B1711" s="1729">
        <v>1711</v>
      </c>
    </row>
    <row r="1712" spans="2:2" x14ac:dyDescent="0.2">
      <c r="B1712" s="1729">
        <v>1712</v>
      </c>
    </row>
    <row r="1713" spans="2:2" x14ac:dyDescent="0.2">
      <c r="B1713" s="1729">
        <v>1713</v>
      </c>
    </row>
    <row r="1714" spans="2:2" x14ac:dyDescent="0.2">
      <c r="B1714" s="1729">
        <v>1714</v>
      </c>
    </row>
    <row r="1715" spans="2:2" x14ac:dyDescent="0.2">
      <c r="B1715" s="1729">
        <v>1715</v>
      </c>
    </row>
    <row r="1716" spans="2:2" x14ac:dyDescent="0.2">
      <c r="B1716" s="1729">
        <v>1716</v>
      </c>
    </row>
    <row r="1717" spans="2:2" x14ac:dyDescent="0.2">
      <c r="B1717" s="1729">
        <v>1717</v>
      </c>
    </row>
    <row r="1718" spans="2:2" x14ac:dyDescent="0.2">
      <c r="B1718" s="1729">
        <v>1718</v>
      </c>
    </row>
    <row r="1719" spans="2:2" x14ac:dyDescent="0.2">
      <c r="B1719" s="1729">
        <v>1719</v>
      </c>
    </row>
    <row r="1720" spans="2:2" x14ac:dyDescent="0.2">
      <c r="B1720" s="1729">
        <v>1720</v>
      </c>
    </row>
    <row r="1721" spans="2:2" x14ac:dyDescent="0.2">
      <c r="B1721" s="1729">
        <v>1721</v>
      </c>
    </row>
    <row r="1722" spans="2:2" x14ac:dyDescent="0.2">
      <c r="B1722" s="1729">
        <v>1722</v>
      </c>
    </row>
    <row r="1723" spans="2:2" x14ac:dyDescent="0.2">
      <c r="B1723" s="1729">
        <v>1723</v>
      </c>
    </row>
    <row r="1724" spans="2:2" x14ac:dyDescent="0.2">
      <c r="B1724" s="1729">
        <v>1724</v>
      </c>
    </row>
    <row r="1725" spans="2:2" x14ac:dyDescent="0.2">
      <c r="B1725" s="1729">
        <v>1725</v>
      </c>
    </row>
    <row r="1726" spans="2:2" x14ac:dyDescent="0.2">
      <c r="B1726" s="1729">
        <v>1726</v>
      </c>
    </row>
    <row r="1727" spans="2:2" x14ac:dyDescent="0.2">
      <c r="B1727" s="1729">
        <v>1727</v>
      </c>
    </row>
    <row r="1728" spans="2:2" x14ac:dyDescent="0.2">
      <c r="B1728" s="1729">
        <v>1728</v>
      </c>
    </row>
    <row r="1729" spans="2:2" x14ac:dyDescent="0.2">
      <c r="B1729" s="1729">
        <v>1729</v>
      </c>
    </row>
    <row r="1730" spans="2:2" x14ac:dyDescent="0.2">
      <c r="B1730" s="1729">
        <v>1730</v>
      </c>
    </row>
    <row r="1731" spans="2:2" x14ac:dyDescent="0.2">
      <c r="B1731" s="1729">
        <v>1731</v>
      </c>
    </row>
    <row r="1732" spans="2:2" x14ac:dyDescent="0.2">
      <c r="B1732" s="1729">
        <v>1732</v>
      </c>
    </row>
    <row r="1733" spans="2:2" x14ac:dyDescent="0.2">
      <c r="B1733" s="1729">
        <v>1733</v>
      </c>
    </row>
    <row r="1734" spans="2:2" x14ac:dyDescent="0.2">
      <c r="B1734" s="1729">
        <v>1734</v>
      </c>
    </row>
    <row r="1735" spans="2:2" x14ac:dyDescent="0.2">
      <c r="B1735" s="1729">
        <v>1735</v>
      </c>
    </row>
    <row r="1736" spans="2:2" x14ac:dyDescent="0.2">
      <c r="B1736" s="1729">
        <v>1736</v>
      </c>
    </row>
    <row r="1737" spans="2:2" x14ac:dyDescent="0.2">
      <c r="B1737" s="1729">
        <v>1737</v>
      </c>
    </row>
    <row r="1738" spans="2:2" x14ac:dyDescent="0.2">
      <c r="B1738" s="1729">
        <v>1738</v>
      </c>
    </row>
    <row r="1739" spans="2:2" x14ac:dyDescent="0.2">
      <c r="B1739" s="1729">
        <v>1739</v>
      </c>
    </row>
    <row r="1740" spans="2:2" x14ac:dyDescent="0.2">
      <c r="B1740" s="1729">
        <v>1740</v>
      </c>
    </row>
    <row r="1741" spans="2:2" x14ac:dyDescent="0.2">
      <c r="B1741" s="1729">
        <v>1741</v>
      </c>
    </row>
    <row r="1742" spans="2:2" x14ac:dyDescent="0.2">
      <c r="B1742" s="1729">
        <v>1742</v>
      </c>
    </row>
    <row r="1743" spans="2:2" x14ac:dyDescent="0.2">
      <c r="B1743" s="1729">
        <v>1743</v>
      </c>
    </row>
    <row r="1744" spans="2:2" x14ac:dyDescent="0.2">
      <c r="B1744" s="1729">
        <v>1744</v>
      </c>
    </row>
    <row r="1745" spans="2:2" x14ac:dyDescent="0.2">
      <c r="B1745" s="1729">
        <v>1745</v>
      </c>
    </row>
    <row r="1746" spans="2:2" x14ac:dyDescent="0.2">
      <c r="B1746" s="1729">
        <v>1746</v>
      </c>
    </row>
    <row r="1747" spans="2:2" x14ac:dyDescent="0.2">
      <c r="B1747" s="1729">
        <v>1747</v>
      </c>
    </row>
    <row r="1748" spans="2:2" x14ac:dyDescent="0.2">
      <c r="B1748" s="1729">
        <v>1748</v>
      </c>
    </row>
    <row r="1749" spans="2:2" x14ac:dyDescent="0.2">
      <c r="B1749" s="1729">
        <v>1749</v>
      </c>
    </row>
    <row r="1750" spans="2:2" x14ac:dyDescent="0.2">
      <c r="B1750" s="1729">
        <v>1750</v>
      </c>
    </row>
    <row r="1751" spans="2:2" x14ac:dyDescent="0.2">
      <c r="B1751" s="1729">
        <v>1751</v>
      </c>
    </row>
    <row r="1752" spans="2:2" x14ac:dyDescent="0.2">
      <c r="B1752" s="1729">
        <v>1752</v>
      </c>
    </row>
    <row r="1753" spans="2:2" x14ac:dyDescent="0.2">
      <c r="B1753" s="1729">
        <v>1753</v>
      </c>
    </row>
    <row r="1754" spans="2:2" x14ac:dyDescent="0.2">
      <c r="B1754" s="1729">
        <v>1754</v>
      </c>
    </row>
    <row r="1755" spans="2:2" x14ac:dyDescent="0.2">
      <c r="B1755" s="1729">
        <v>1755</v>
      </c>
    </row>
    <row r="1756" spans="2:2" x14ac:dyDescent="0.2">
      <c r="B1756" s="1729">
        <v>1756</v>
      </c>
    </row>
    <row r="1757" spans="2:2" x14ac:dyDescent="0.2">
      <c r="B1757" s="1729">
        <v>1757</v>
      </c>
    </row>
    <row r="1758" spans="2:2" x14ac:dyDescent="0.2">
      <c r="B1758" s="1729">
        <v>1758</v>
      </c>
    </row>
    <row r="1759" spans="2:2" x14ac:dyDescent="0.2">
      <c r="B1759" s="1729">
        <v>1759</v>
      </c>
    </row>
    <row r="1760" spans="2:2" x14ac:dyDescent="0.2">
      <c r="B1760" s="1729">
        <v>1760</v>
      </c>
    </row>
    <row r="1761" spans="2:2" x14ac:dyDescent="0.2">
      <c r="B1761" s="1729">
        <v>1761</v>
      </c>
    </row>
    <row r="1762" spans="2:2" x14ac:dyDescent="0.2">
      <c r="B1762" s="1729">
        <v>1762</v>
      </c>
    </row>
    <row r="1763" spans="2:2" x14ac:dyDescent="0.2">
      <c r="B1763" s="1729">
        <v>1763</v>
      </c>
    </row>
    <row r="1764" spans="2:2" x14ac:dyDescent="0.2">
      <c r="B1764" s="1729">
        <v>1764</v>
      </c>
    </row>
    <row r="1765" spans="2:2" x14ac:dyDescent="0.2">
      <c r="B1765" s="1729">
        <v>1765</v>
      </c>
    </row>
    <row r="1766" spans="2:2" x14ac:dyDescent="0.2">
      <c r="B1766" s="1729">
        <v>1766</v>
      </c>
    </row>
    <row r="1767" spans="2:2" x14ac:dyDescent="0.2">
      <c r="B1767" s="1729">
        <v>1767</v>
      </c>
    </row>
    <row r="1768" spans="2:2" x14ac:dyDescent="0.2">
      <c r="B1768" s="1729">
        <v>1768</v>
      </c>
    </row>
    <row r="1769" spans="2:2" x14ac:dyDescent="0.2">
      <c r="B1769" s="1729">
        <v>1769</v>
      </c>
    </row>
    <row r="1770" spans="2:2" x14ac:dyDescent="0.2">
      <c r="B1770" s="1729">
        <v>1770</v>
      </c>
    </row>
    <row r="1771" spans="2:2" x14ac:dyDescent="0.2">
      <c r="B1771" s="1729">
        <v>1771</v>
      </c>
    </row>
    <row r="1772" spans="2:2" x14ac:dyDescent="0.2">
      <c r="B1772" s="1729">
        <v>1772</v>
      </c>
    </row>
    <row r="1773" spans="2:2" x14ac:dyDescent="0.2">
      <c r="B1773" s="1729">
        <v>1773</v>
      </c>
    </row>
    <row r="1774" spans="2:2" x14ac:dyDescent="0.2">
      <c r="B1774" s="1729">
        <v>1774</v>
      </c>
    </row>
    <row r="1775" spans="2:2" x14ac:dyDescent="0.2">
      <c r="B1775" s="1729">
        <v>1775</v>
      </c>
    </row>
    <row r="1776" spans="2:2" x14ac:dyDescent="0.2">
      <c r="B1776" s="1729">
        <v>1776</v>
      </c>
    </row>
    <row r="1777" spans="2:2" x14ac:dyDescent="0.2">
      <c r="B1777" s="1729">
        <v>1777</v>
      </c>
    </row>
    <row r="1778" spans="2:2" x14ac:dyDescent="0.2">
      <c r="B1778" s="1729">
        <v>1778</v>
      </c>
    </row>
    <row r="1779" spans="2:2" x14ac:dyDescent="0.2">
      <c r="B1779" s="1729">
        <v>1779</v>
      </c>
    </row>
    <row r="1780" spans="2:2" x14ac:dyDescent="0.2">
      <c r="B1780" s="1729">
        <v>1780</v>
      </c>
    </row>
    <row r="1781" spans="2:2" x14ac:dyDescent="0.2">
      <c r="B1781" s="1729">
        <v>1781</v>
      </c>
    </row>
    <row r="1782" spans="2:2" x14ac:dyDescent="0.2">
      <c r="B1782" s="1729">
        <v>1782</v>
      </c>
    </row>
    <row r="1783" spans="2:2" x14ac:dyDescent="0.2">
      <c r="B1783" s="1729">
        <v>1783</v>
      </c>
    </row>
    <row r="1784" spans="2:2" x14ac:dyDescent="0.2">
      <c r="B1784" s="1729">
        <v>1784</v>
      </c>
    </row>
    <row r="1785" spans="2:2" x14ac:dyDescent="0.2">
      <c r="B1785" s="1729">
        <v>1785</v>
      </c>
    </row>
    <row r="1786" spans="2:2" x14ac:dyDescent="0.2">
      <c r="B1786" s="1729">
        <v>1786</v>
      </c>
    </row>
    <row r="1787" spans="2:2" x14ac:dyDescent="0.2">
      <c r="B1787" s="1729">
        <v>1787</v>
      </c>
    </row>
    <row r="1788" spans="2:2" x14ac:dyDescent="0.2">
      <c r="B1788" s="1729">
        <v>1788</v>
      </c>
    </row>
    <row r="1789" spans="2:2" x14ac:dyDescent="0.2">
      <c r="B1789" s="1729">
        <v>1789</v>
      </c>
    </row>
    <row r="1790" spans="2:2" x14ac:dyDescent="0.2">
      <c r="B1790" s="1729">
        <v>1790</v>
      </c>
    </row>
    <row r="1791" spans="2:2" x14ac:dyDescent="0.2">
      <c r="B1791" s="1729">
        <v>1791</v>
      </c>
    </row>
    <row r="1792" spans="2:2" x14ac:dyDescent="0.2">
      <c r="B1792" s="1729">
        <v>1792</v>
      </c>
    </row>
    <row r="1793" spans="2:2" x14ac:dyDescent="0.2">
      <c r="B1793" s="1729">
        <v>1793</v>
      </c>
    </row>
    <row r="1794" spans="2:2" x14ac:dyDescent="0.2">
      <c r="B1794" s="1729">
        <v>1794</v>
      </c>
    </row>
    <row r="1795" spans="2:2" x14ac:dyDescent="0.2">
      <c r="B1795" s="1729">
        <v>1795</v>
      </c>
    </row>
    <row r="1796" spans="2:2" x14ac:dyDescent="0.2">
      <c r="B1796" s="1729">
        <v>1796</v>
      </c>
    </row>
    <row r="1797" spans="2:2" x14ac:dyDescent="0.2">
      <c r="B1797" s="1729">
        <v>1797</v>
      </c>
    </row>
    <row r="1798" spans="2:2" x14ac:dyDescent="0.2">
      <c r="B1798" s="1729">
        <v>1798</v>
      </c>
    </row>
    <row r="1799" spans="2:2" x14ac:dyDescent="0.2">
      <c r="B1799" s="1729">
        <v>1799</v>
      </c>
    </row>
    <row r="1800" spans="2:2" x14ac:dyDescent="0.2">
      <c r="B1800" s="1729">
        <v>1800</v>
      </c>
    </row>
    <row r="1801" spans="2:2" x14ac:dyDescent="0.2">
      <c r="B1801" s="1729">
        <v>1801</v>
      </c>
    </row>
    <row r="1802" spans="2:2" x14ac:dyDescent="0.2">
      <c r="B1802" s="1729">
        <v>1802</v>
      </c>
    </row>
    <row r="1803" spans="2:2" x14ac:dyDescent="0.2">
      <c r="B1803" s="1729">
        <v>1803</v>
      </c>
    </row>
    <row r="1804" spans="2:2" x14ac:dyDescent="0.2">
      <c r="B1804" s="1729">
        <v>1804</v>
      </c>
    </row>
    <row r="1805" spans="2:2" x14ac:dyDescent="0.2">
      <c r="B1805" s="1729">
        <v>1805</v>
      </c>
    </row>
    <row r="1806" spans="2:2" x14ac:dyDescent="0.2">
      <c r="B1806" s="1729">
        <v>1806</v>
      </c>
    </row>
    <row r="1807" spans="2:2" x14ac:dyDescent="0.2">
      <c r="B1807" s="1729">
        <v>1807</v>
      </c>
    </row>
    <row r="1808" spans="2:2" x14ac:dyDescent="0.2">
      <c r="B1808" s="1729">
        <v>1808</v>
      </c>
    </row>
    <row r="1809" spans="2:2" x14ac:dyDescent="0.2">
      <c r="B1809" s="1729">
        <v>1809</v>
      </c>
    </row>
    <row r="1810" spans="2:2" x14ac:dyDescent="0.2">
      <c r="B1810" s="1729">
        <v>1810</v>
      </c>
    </row>
    <row r="1811" spans="2:2" x14ac:dyDescent="0.2">
      <c r="B1811" s="1729">
        <v>1811</v>
      </c>
    </row>
    <row r="1812" spans="2:2" x14ac:dyDescent="0.2">
      <c r="B1812" s="1729">
        <v>1812</v>
      </c>
    </row>
    <row r="1813" spans="2:2" x14ac:dyDescent="0.2">
      <c r="B1813" s="1729">
        <v>1813</v>
      </c>
    </row>
    <row r="1814" spans="2:2" x14ac:dyDescent="0.2">
      <c r="B1814" s="1729">
        <v>1814</v>
      </c>
    </row>
    <row r="1815" spans="2:2" x14ac:dyDescent="0.2">
      <c r="B1815" s="1729">
        <v>1815</v>
      </c>
    </row>
    <row r="1816" spans="2:2" x14ac:dyDescent="0.2">
      <c r="B1816" s="1729">
        <v>1816</v>
      </c>
    </row>
    <row r="1817" spans="2:2" x14ac:dyDescent="0.2">
      <c r="B1817" s="1729">
        <v>1817</v>
      </c>
    </row>
    <row r="1818" spans="2:2" x14ac:dyDescent="0.2">
      <c r="B1818" s="1729">
        <v>1818</v>
      </c>
    </row>
    <row r="1819" spans="2:2" x14ac:dyDescent="0.2">
      <c r="B1819" s="1729">
        <v>1819</v>
      </c>
    </row>
    <row r="1820" spans="2:2" x14ac:dyDescent="0.2">
      <c r="B1820" s="1729">
        <v>1820</v>
      </c>
    </row>
    <row r="1821" spans="2:2" x14ac:dyDescent="0.2">
      <c r="B1821" s="1729">
        <v>1821</v>
      </c>
    </row>
    <row r="1822" spans="2:2" x14ac:dyDescent="0.2">
      <c r="B1822" s="1729">
        <v>1822</v>
      </c>
    </row>
    <row r="1823" spans="2:2" x14ac:dyDescent="0.2">
      <c r="B1823" s="1729">
        <v>1823</v>
      </c>
    </row>
    <row r="1824" spans="2:2" x14ac:dyDescent="0.2">
      <c r="B1824" s="1729">
        <v>1824</v>
      </c>
    </row>
    <row r="1825" spans="2:2" x14ac:dyDescent="0.2">
      <c r="B1825" s="1729">
        <v>1825</v>
      </c>
    </row>
    <row r="1826" spans="2:2" x14ac:dyDescent="0.2">
      <c r="B1826" s="1729">
        <v>1826</v>
      </c>
    </row>
    <row r="1827" spans="2:2" x14ac:dyDescent="0.2">
      <c r="B1827" s="1729">
        <v>1827</v>
      </c>
    </row>
    <row r="1828" spans="2:2" x14ac:dyDescent="0.2">
      <c r="B1828" s="1729">
        <v>1828</v>
      </c>
    </row>
    <row r="1829" spans="2:2" x14ac:dyDescent="0.2">
      <c r="B1829" s="1729">
        <v>1829</v>
      </c>
    </row>
    <row r="1830" spans="2:2" x14ac:dyDescent="0.2">
      <c r="B1830" s="1729">
        <v>1830</v>
      </c>
    </row>
    <row r="1831" spans="2:2" x14ac:dyDescent="0.2">
      <c r="B1831" s="1729">
        <v>1831</v>
      </c>
    </row>
    <row r="1832" spans="2:2" x14ac:dyDescent="0.2">
      <c r="B1832" s="1729">
        <v>1832</v>
      </c>
    </row>
    <row r="1833" spans="2:2" x14ac:dyDescent="0.2">
      <c r="B1833" s="1729">
        <v>1833</v>
      </c>
    </row>
    <row r="1834" spans="2:2" x14ac:dyDescent="0.2">
      <c r="B1834" s="1729">
        <v>1834</v>
      </c>
    </row>
    <row r="1835" spans="2:2" x14ac:dyDescent="0.2">
      <c r="B1835" s="1729">
        <v>1835</v>
      </c>
    </row>
    <row r="1836" spans="2:2" x14ac:dyDescent="0.2">
      <c r="B1836" s="1729">
        <v>1836</v>
      </c>
    </row>
    <row r="1837" spans="2:2" x14ac:dyDescent="0.2">
      <c r="B1837" s="1729">
        <v>1837</v>
      </c>
    </row>
    <row r="1838" spans="2:2" x14ac:dyDescent="0.2">
      <c r="B1838" s="1729">
        <v>1838</v>
      </c>
    </row>
    <row r="1839" spans="2:2" x14ac:dyDescent="0.2">
      <c r="B1839" s="1729">
        <v>1839</v>
      </c>
    </row>
    <row r="1840" spans="2:2" x14ac:dyDescent="0.2">
      <c r="B1840" s="1729">
        <v>1840</v>
      </c>
    </row>
    <row r="1841" spans="2:2" x14ac:dyDescent="0.2">
      <c r="B1841" s="1729">
        <v>1841</v>
      </c>
    </row>
    <row r="1842" spans="2:2" x14ac:dyDescent="0.2">
      <c r="B1842" s="1729">
        <v>1842</v>
      </c>
    </row>
    <row r="1843" spans="2:2" x14ac:dyDescent="0.2">
      <c r="B1843" s="1729">
        <v>1843</v>
      </c>
    </row>
    <row r="1844" spans="2:2" x14ac:dyDescent="0.2">
      <c r="B1844" s="1729">
        <v>1844</v>
      </c>
    </row>
    <row r="1845" spans="2:2" x14ac:dyDescent="0.2">
      <c r="B1845" s="1729">
        <v>1845</v>
      </c>
    </row>
    <row r="1846" spans="2:2" x14ac:dyDescent="0.2">
      <c r="B1846" s="1729">
        <v>1846</v>
      </c>
    </row>
    <row r="1847" spans="2:2" x14ac:dyDescent="0.2">
      <c r="B1847" s="1729">
        <v>1847</v>
      </c>
    </row>
    <row r="1848" spans="2:2" x14ac:dyDescent="0.2">
      <c r="B1848" s="1729">
        <v>1848</v>
      </c>
    </row>
    <row r="1849" spans="2:2" x14ac:dyDescent="0.2">
      <c r="B1849" s="1729">
        <v>1849</v>
      </c>
    </row>
    <row r="1850" spans="2:2" x14ac:dyDescent="0.2">
      <c r="B1850" s="1729">
        <v>1850</v>
      </c>
    </row>
    <row r="1851" spans="2:2" x14ac:dyDescent="0.2">
      <c r="B1851" s="1729">
        <v>1851</v>
      </c>
    </row>
    <row r="1852" spans="2:2" x14ac:dyDescent="0.2">
      <c r="B1852" s="1729">
        <v>1852</v>
      </c>
    </row>
    <row r="1853" spans="2:2" x14ac:dyDescent="0.2">
      <c r="B1853" s="1729">
        <v>1853</v>
      </c>
    </row>
    <row r="1854" spans="2:2" x14ac:dyDescent="0.2">
      <c r="B1854" s="1729">
        <v>1854</v>
      </c>
    </row>
    <row r="1855" spans="2:2" x14ac:dyDescent="0.2">
      <c r="B1855" s="1729">
        <v>1855</v>
      </c>
    </row>
    <row r="1856" spans="2:2" x14ac:dyDescent="0.2">
      <c r="B1856" s="1729">
        <v>1856</v>
      </c>
    </row>
    <row r="1857" spans="2:2" x14ac:dyDescent="0.2">
      <c r="B1857" s="1729">
        <v>1857</v>
      </c>
    </row>
    <row r="1858" spans="2:2" x14ac:dyDescent="0.2">
      <c r="B1858" s="1729">
        <v>1858</v>
      </c>
    </row>
    <row r="1859" spans="2:2" x14ac:dyDescent="0.2">
      <c r="B1859" s="1729">
        <v>1859</v>
      </c>
    </row>
    <row r="1860" spans="2:2" x14ac:dyDescent="0.2">
      <c r="B1860" s="1729">
        <v>1860</v>
      </c>
    </row>
    <row r="1861" spans="2:2" x14ac:dyDescent="0.2">
      <c r="B1861" s="1729">
        <v>1861</v>
      </c>
    </row>
    <row r="1862" spans="2:2" x14ac:dyDescent="0.2">
      <c r="B1862" s="1729">
        <v>1862</v>
      </c>
    </row>
    <row r="1863" spans="2:2" x14ac:dyDescent="0.2">
      <c r="B1863" s="1729">
        <v>1863</v>
      </c>
    </row>
    <row r="1864" spans="2:2" x14ac:dyDescent="0.2">
      <c r="B1864" s="1729">
        <v>1864</v>
      </c>
    </row>
    <row r="1865" spans="2:2" x14ac:dyDescent="0.2">
      <c r="B1865" s="1729">
        <v>1865</v>
      </c>
    </row>
    <row r="1866" spans="2:2" x14ac:dyDescent="0.2">
      <c r="B1866" s="1729">
        <v>1866</v>
      </c>
    </row>
    <row r="1867" spans="2:2" x14ac:dyDescent="0.2">
      <c r="B1867" s="1729">
        <v>1867</v>
      </c>
    </row>
    <row r="1868" spans="2:2" x14ac:dyDescent="0.2">
      <c r="B1868" s="1729">
        <v>1868</v>
      </c>
    </row>
    <row r="1869" spans="2:2" x14ac:dyDescent="0.2">
      <c r="B1869" s="1729">
        <v>1869</v>
      </c>
    </row>
    <row r="1870" spans="2:2" x14ac:dyDescent="0.2">
      <c r="B1870" s="1729">
        <v>1870</v>
      </c>
    </row>
    <row r="1871" spans="2:2" x14ac:dyDescent="0.2">
      <c r="B1871" s="1729">
        <v>1871</v>
      </c>
    </row>
    <row r="1872" spans="2:2" x14ac:dyDescent="0.2">
      <c r="B1872" s="1729">
        <v>1872</v>
      </c>
    </row>
    <row r="1873" spans="2:2" x14ac:dyDescent="0.2">
      <c r="B1873" s="1729">
        <v>1873</v>
      </c>
    </row>
    <row r="1874" spans="2:2" x14ac:dyDescent="0.2">
      <c r="B1874" s="1729">
        <v>1874</v>
      </c>
    </row>
    <row r="1875" spans="2:2" x14ac:dyDescent="0.2">
      <c r="B1875" s="1729">
        <v>1875</v>
      </c>
    </row>
    <row r="1876" spans="2:2" x14ac:dyDescent="0.2">
      <c r="B1876" s="1729">
        <v>1876</v>
      </c>
    </row>
    <row r="1877" spans="2:2" x14ac:dyDescent="0.2">
      <c r="B1877" s="1729">
        <v>1877</v>
      </c>
    </row>
    <row r="1878" spans="2:2" x14ac:dyDescent="0.2">
      <c r="B1878" s="1729">
        <v>1878</v>
      </c>
    </row>
    <row r="1879" spans="2:2" x14ac:dyDescent="0.2">
      <c r="B1879" s="1729">
        <v>1879</v>
      </c>
    </row>
    <row r="1880" spans="2:2" x14ac:dyDescent="0.2">
      <c r="B1880" s="1729">
        <v>1880</v>
      </c>
    </row>
    <row r="1881" spans="2:2" x14ac:dyDescent="0.2">
      <c r="B1881" s="1729">
        <v>1881</v>
      </c>
    </row>
    <row r="1882" spans="2:2" x14ac:dyDescent="0.2">
      <c r="B1882" s="1729">
        <v>1882</v>
      </c>
    </row>
    <row r="1883" spans="2:2" x14ac:dyDescent="0.2">
      <c r="B1883" s="1729">
        <v>1883</v>
      </c>
    </row>
    <row r="1884" spans="2:2" x14ac:dyDescent="0.2">
      <c r="B1884" s="1729">
        <v>1884</v>
      </c>
    </row>
    <row r="1885" spans="2:2" x14ac:dyDescent="0.2">
      <c r="B1885" s="1729">
        <v>1885</v>
      </c>
    </row>
    <row r="1886" spans="2:2" x14ac:dyDescent="0.2">
      <c r="B1886" s="1729">
        <v>1886</v>
      </c>
    </row>
    <row r="1887" spans="2:2" x14ac:dyDescent="0.2">
      <c r="B1887" s="1729">
        <v>1887</v>
      </c>
    </row>
    <row r="1888" spans="2:2" x14ac:dyDescent="0.2">
      <c r="B1888" s="1729">
        <v>1888</v>
      </c>
    </row>
    <row r="1889" spans="2:2" x14ac:dyDescent="0.2">
      <c r="B1889" s="1729">
        <v>1889</v>
      </c>
    </row>
    <row r="1890" spans="2:2" x14ac:dyDescent="0.2">
      <c r="B1890" s="1729">
        <v>1890</v>
      </c>
    </row>
    <row r="1891" spans="2:2" x14ac:dyDescent="0.2">
      <c r="B1891" s="1729">
        <v>1891</v>
      </c>
    </row>
    <row r="1892" spans="2:2" x14ac:dyDescent="0.2">
      <c r="B1892" s="1729">
        <v>1892</v>
      </c>
    </row>
    <row r="1893" spans="2:2" x14ac:dyDescent="0.2">
      <c r="B1893" s="1729">
        <v>1893</v>
      </c>
    </row>
    <row r="1894" spans="2:2" x14ac:dyDescent="0.2">
      <c r="B1894" s="1729">
        <v>1894</v>
      </c>
    </row>
    <row r="1895" spans="2:2" x14ac:dyDescent="0.2">
      <c r="B1895" s="1729">
        <v>1895</v>
      </c>
    </row>
    <row r="1896" spans="2:2" x14ac:dyDescent="0.2">
      <c r="B1896" s="1729">
        <v>1896</v>
      </c>
    </row>
    <row r="1897" spans="2:2" x14ac:dyDescent="0.2">
      <c r="B1897" s="1729">
        <v>1897</v>
      </c>
    </row>
    <row r="1898" spans="2:2" x14ac:dyDescent="0.2">
      <c r="B1898" s="1729">
        <v>1898</v>
      </c>
    </row>
    <row r="1899" spans="2:2" x14ac:dyDescent="0.2">
      <c r="B1899" s="1729">
        <v>1899</v>
      </c>
    </row>
    <row r="1900" spans="2:2" x14ac:dyDescent="0.2">
      <c r="B1900" s="1729">
        <v>1900</v>
      </c>
    </row>
    <row r="1901" spans="2:2" x14ac:dyDescent="0.2">
      <c r="B1901" s="1729">
        <v>1901</v>
      </c>
    </row>
    <row r="1902" spans="2:2" x14ac:dyDescent="0.2">
      <c r="B1902" s="1729">
        <v>1902</v>
      </c>
    </row>
    <row r="1903" spans="2:2" x14ac:dyDescent="0.2">
      <c r="B1903" s="1729">
        <v>1903</v>
      </c>
    </row>
    <row r="1904" spans="2:2" x14ac:dyDescent="0.2">
      <c r="B1904" s="1729">
        <v>1904</v>
      </c>
    </row>
    <row r="1905" spans="2:2" x14ac:dyDescent="0.2">
      <c r="B1905" s="1729">
        <v>1905</v>
      </c>
    </row>
    <row r="1906" spans="2:2" x14ac:dyDescent="0.2">
      <c r="B1906" s="1729">
        <v>1906</v>
      </c>
    </row>
    <row r="1907" spans="2:2" x14ac:dyDescent="0.2">
      <c r="B1907" s="1729">
        <v>1907</v>
      </c>
    </row>
    <row r="1908" spans="2:2" x14ac:dyDescent="0.2">
      <c r="B1908" s="1729">
        <v>1908</v>
      </c>
    </row>
    <row r="1909" spans="2:2" x14ac:dyDescent="0.2">
      <c r="B1909" s="1729">
        <v>1909</v>
      </c>
    </row>
    <row r="1910" spans="2:2" x14ac:dyDescent="0.2">
      <c r="B1910" s="1729">
        <v>1910</v>
      </c>
    </row>
    <row r="1911" spans="2:2" x14ac:dyDescent="0.2">
      <c r="B1911" s="1729">
        <v>1911</v>
      </c>
    </row>
    <row r="1912" spans="2:2" x14ac:dyDescent="0.2">
      <c r="B1912" s="1729">
        <v>1912</v>
      </c>
    </row>
    <row r="1913" spans="2:2" x14ac:dyDescent="0.2">
      <c r="B1913" s="1729">
        <v>1913</v>
      </c>
    </row>
    <row r="1914" spans="2:2" x14ac:dyDescent="0.2">
      <c r="B1914" s="1729">
        <v>1914</v>
      </c>
    </row>
    <row r="1915" spans="2:2" x14ac:dyDescent="0.2">
      <c r="B1915" s="1729">
        <v>1915</v>
      </c>
    </row>
    <row r="1916" spans="2:2" x14ac:dyDescent="0.2">
      <c r="B1916" s="1729">
        <v>1916</v>
      </c>
    </row>
    <row r="1917" spans="2:2" x14ac:dyDescent="0.2">
      <c r="B1917" s="1729">
        <v>1917</v>
      </c>
    </row>
    <row r="1918" spans="2:2" x14ac:dyDescent="0.2">
      <c r="B1918" s="1729">
        <v>1918</v>
      </c>
    </row>
    <row r="1919" spans="2:2" x14ac:dyDescent="0.2">
      <c r="B1919" s="1729">
        <v>1919</v>
      </c>
    </row>
    <row r="1920" spans="2:2" x14ac:dyDescent="0.2">
      <c r="B1920" s="1729">
        <v>1920</v>
      </c>
    </row>
    <row r="1921" spans="2:2" x14ac:dyDescent="0.2">
      <c r="B1921" s="1729">
        <v>1921</v>
      </c>
    </row>
    <row r="1922" spans="2:2" x14ac:dyDescent="0.2">
      <c r="B1922" s="1729">
        <v>1922</v>
      </c>
    </row>
    <row r="1923" spans="2:2" x14ac:dyDescent="0.2">
      <c r="B1923" s="1729">
        <v>1923</v>
      </c>
    </row>
    <row r="1924" spans="2:2" x14ac:dyDescent="0.2">
      <c r="B1924" s="1729">
        <v>1924</v>
      </c>
    </row>
    <row r="1925" spans="2:2" x14ac:dyDescent="0.2">
      <c r="B1925" s="1729">
        <v>1925</v>
      </c>
    </row>
    <row r="1926" spans="2:2" x14ac:dyDescent="0.2">
      <c r="B1926" s="1729">
        <v>1926</v>
      </c>
    </row>
    <row r="1927" spans="2:2" x14ac:dyDescent="0.2">
      <c r="B1927" s="1729">
        <v>1927</v>
      </c>
    </row>
    <row r="1928" spans="2:2" x14ac:dyDescent="0.2">
      <c r="B1928" s="1729">
        <v>1928</v>
      </c>
    </row>
    <row r="1929" spans="2:2" x14ac:dyDescent="0.2">
      <c r="B1929" s="1729">
        <v>1929</v>
      </c>
    </row>
    <row r="1930" spans="2:2" x14ac:dyDescent="0.2">
      <c r="B1930" s="1729">
        <v>1930</v>
      </c>
    </row>
    <row r="1931" spans="2:2" x14ac:dyDescent="0.2">
      <c r="B1931" s="1729">
        <v>1931</v>
      </c>
    </row>
    <row r="1932" spans="2:2" x14ac:dyDescent="0.2">
      <c r="B1932" s="1729">
        <v>1932</v>
      </c>
    </row>
    <row r="1933" spans="2:2" x14ac:dyDescent="0.2">
      <c r="B1933" s="1729">
        <v>1933</v>
      </c>
    </row>
    <row r="1934" spans="2:2" x14ac:dyDescent="0.2">
      <c r="B1934" s="1729">
        <v>1934</v>
      </c>
    </row>
    <row r="1935" spans="2:2" x14ac:dyDescent="0.2">
      <c r="B1935" s="1729">
        <v>1935</v>
      </c>
    </row>
    <row r="1936" spans="2:2" x14ac:dyDescent="0.2">
      <c r="B1936" s="1729">
        <v>1936</v>
      </c>
    </row>
    <row r="1937" spans="2:2" x14ac:dyDescent="0.2">
      <c r="B1937" s="1729">
        <v>1937</v>
      </c>
    </row>
    <row r="1938" spans="2:2" x14ac:dyDescent="0.2">
      <c r="B1938" s="1729">
        <v>1938</v>
      </c>
    </row>
    <row r="1939" spans="2:2" x14ac:dyDescent="0.2">
      <c r="B1939" s="1729">
        <v>1939</v>
      </c>
    </row>
    <row r="1940" spans="2:2" x14ac:dyDescent="0.2">
      <c r="B1940" s="1729">
        <v>1940</v>
      </c>
    </row>
    <row r="1941" spans="2:2" x14ac:dyDescent="0.2">
      <c r="B1941" s="1729">
        <v>1941</v>
      </c>
    </row>
    <row r="1942" spans="2:2" x14ac:dyDescent="0.2">
      <c r="B1942" s="1729">
        <v>1942</v>
      </c>
    </row>
    <row r="1943" spans="2:2" x14ac:dyDescent="0.2">
      <c r="B1943" s="1729">
        <v>1943</v>
      </c>
    </row>
    <row r="1944" spans="2:2" x14ac:dyDescent="0.2">
      <c r="B1944" s="1729">
        <v>1944</v>
      </c>
    </row>
    <row r="1945" spans="2:2" x14ac:dyDescent="0.2">
      <c r="B1945" s="1729">
        <v>1945</v>
      </c>
    </row>
    <row r="1946" spans="2:2" x14ac:dyDescent="0.2">
      <c r="B1946" s="1729">
        <v>1946</v>
      </c>
    </row>
    <row r="1947" spans="2:2" x14ac:dyDescent="0.2">
      <c r="B1947" s="1729">
        <v>1947</v>
      </c>
    </row>
    <row r="1948" spans="2:2" x14ac:dyDescent="0.2">
      <c r="B1948" s="1729">
        <v>1948</v>
      </c>
    </row>
    <row r="1949" spans="2:2" x14ac:dyDescent="0.2">
      <c r="B1949" s="1729">
        <v>1949</v>
      </c>
    </row>
    <row r="1950" spans="2:2" x14ac:dyDescent="0.2">
      <c r="B1950" s="1729">
        <v>1950</v>
      </c>
    </row>
    <row r="1951" spans="2:2" x14ac:dyDescent="0.2">
      <c r="B1951" s="1729">
        <v>1951</v>
      </c>
    </row>
    <row r="1952" spans="2:2" x14ac:dyDescent="0.2">
      <c r="B1952" s="1729">
        <v>1952</v>
      </c>
    </row>
    <row r="1953" spans="2:2" x14ac:dyDescent="0.2">
      <c r="B1953" s="1729">
        <v>1953</v>
      </c>
    </row>
    <row r="1954" spans="2:2" x14ac:dyDescent="0.2">
      <c r="B1954" s="1729">
        <v>1954</v>
      </c>
    </row>
    <row r="1955" spans="2:2" x14ac:dyDescent="0.2">
      <c r="B1955" s="1729">
        <v>1955</v>
      </c>
    </row>
    <row r="1956" spans="2:2" x14ac:dyDescent="0.2">
      <c r="B1956" s="1729">
        <v>1956</v>
      </c>
    </row>
    <row r="1957" spans="2:2" x14ac:dyDescent="0.2">
      <c r="B1957" s="1729">
        <v>1957</v>
      </c>
    </row>
    <row r="1958" spans="2:2" x14ac:dyDescent="0.2">
      <c r="B1958" s="1729">
        <v>1958</v>
      </c>
    </row>
    <row r="1959" spans="2:2" x14ac:dyDescent="0.2">
      <c r="B1959" s="1729">
        <v>1959</v>
      </c>
    </row>
    <row r="1960" spans="2:2" x14ac:dyDescent="0.2">
      <c r="B1960" s="1729">
        <v>1960</v>
      </c>
    </row>
    <row r="1961" spans="2:2" x14ac:dyDescent="0.2">
      <c r="B1961" s="1729">
        <v>1961</v>
      </c>
    </row>
    <row r="1962" spans="2:2" x14ac:dyDescent="0.2">
      <c r="B1962" s="1729">
        <v>1962</v>
      </c>
    </row>
    <row r="1963" spans="2:2" x14ac:dyDescent="0.2">
      <c r="B1963" s="1729">
        <v>1963</v>
      </c>
    </row>
    <row r="1964" spans="2:2" x14ac:dyDescent="0.2">
      <c r="B1964" s="1729">
        <v>1964</v>
      </c>
    </row>
    <row r="1965" spans="2:2" x14ac:dyDescent="0.2">
      <c r="B1965" s="1729">
        <v>1965</v>
      </c>
    </row>
    <row r="1966" spans="2:2" x14ac:dyDescent="0.2">
      <c r="B1966" s="1729">
        <v>1966</v>
      </c>
    </row>
    <row r="1967" spans="2:2" x14ac:dyDescent="0.2">
      <c r="B1967" s="1729">
        <v>1967</v>
      </c>
    </row>
    <row r="1968" spans="2:2" x14ac:dyDescent="0.2">
      <c r="B1968" s="1729">
        <v>1968</v>
      </c>
    </row>
    <row r="1969" spans="2:2" x14ac:dyDescent="0.2">
      <c r="B1969" s="1729">
        <v>1969</v>
      </c>
    </row>
    <row r="1970" spans="2:2" x14ac:dyDescent="0.2">
      <c r="B1970" s="1729">
        <v>1970</v>
      </c>
    </row>
    <row r="1971" spans="2:2" x14ac:dyDescent="0.2">
      <c r="B1971" s="1729">
        <v>1971</v>
      </c>
    </row>
    <row r="1972" spans="2:2" x14ac:dyDescent="0.2">
      <c r="B1972" s="1729">
        <v>1972</v>
      </c>
    </row>
    <row r="1973" spans="2:2" x14ac:dyDescent="0.2">
      <c r="B1973" s="1729">
        <v>1973</v>
      </c>
    </row>
    <row r="1974" spans="2:2" x14ac:dyDescent="0.2">
      <c r="B1974" s="1729">
        <v>1974</v>
      </c>
    </row>
    <row r="1975" spans="2:2" x14ac:dyDescent="0.2">
      <c r="B1975" s="1729">
        <v>1975</v>
      </c>
    </row>
    <row r="1976" spans="2:2" x14ac:dyDescent="0.2">
      <c r="B1976" s="1729">
        <v>1976</v>
      </c>
    </row>
    <row r="1977" spans="2:2" x14ac:dyDescent="0.2">
      <c r="B1977" s="1729">
        <v>1977</v>
      </c>
    </row>
    <row r="1978" spans="2:2" x14ac:dyDescent="0.2">
      <c r="B1978" s="1729">
        <v>1978</v>
      </c>
    </row>
    <row r="1979" spans="2:2" x14ac:dyDescent="0.2">
      <c r="B1979" s="1729">
        <v>1979</v>
      </c>
    </row>
    <row r="1980" spans="2:2" x14ac:dyDescent="0.2">
      <c r="B1980" s="1729">
        <v>1980</v>
      </c>
    </row>
    <row r="1981" spans="2:2" x14ac:dyDescent="0.2">
      <c r="B1981" s="1729">
        <v>1981</v>
      </c>
    </row>
    <row r="1982" spans="2:2" x14ac:dyDescent="0.2">
      <c r="B1982" s="1729">
        <v>1982</v>
      </c>
    </row>
    <row r="1983" spans="2:2" x14ac:dyDescent="0.2">
      <c r="B1983" s="1729">
        <v>1983</v>
      </c>
    </row>
    <row r="1984" spans="2:2" x14ac:dyDescent="0.2">
      <c r="B1984" s="1729">
        <v>1984</v>
      </c>
    </row>
    <row r="1985" spans="2:2" x14ac:dyDescent="0.2">
      <c r="B1985" s="1729">
        <v>1985</v>
      </c>
    </row>
    <row r="1986" spans="2:2" x14ac:dyDescent="0.2">
      <c r="B1986" s="1729">
        <v>1986</v>
      </c>
    </row>
    <row r="1987" spans="2:2" x14ac:dyDescent="0.2">
      <c r="B1987" s="1729">
        <v>1987</v>
      </c>
    </row>
    <row r="1988" spans="2:2" x14ac:dyDescent="0.2">
      <c r="B1988" s="1729">
        <v>1988</v>
      </c>
    </row>
    <row r="1989" spans="2:2" x14ac:dyDescent="0.2">
      <c r="B1989" s="1729">
        <v>1989</v>
      </c>
    </row>
    <row r="1990" spans="2:2" x14ac:dyDescent="0.2">
      <c r="B1990" s="1729">
        <v>1990</v>
      </c>
    </row>
    <row r="1991" spans="2:2" x14ac:dyDescent="0.2">
      <c r="B1991" s="1729">
        <v>1991</v>
      </c>
    </row>
    <row r="1992" spans="2:2" x14ac:dyDescent="0.2">
      <c r="B1992" s="1729">
        <v>1992</v>
      </c>
    </row>
    <row r="1993" spans="2:2" x14ac:dyDescent="0.2">
      <c r="B1993" s="1729">
        <v>1993</v>
      </c>
    </row>
    <row r="1994" spans="2:2" x14ac:dyDescent="0.2">
      <c r="B1994" s="1729">
        <v>1994</v>
      </c>
    </row>
    <row r="1995" spans="2:2" x14ac:dyDescent="0.2">
      <c r="B1995" s="1729">
        <v>1995</v>
      </c>
    </row>
    <row r="1996" spans="2:2" x14ac:dyDescent="0.2">
      <c r="B1996" s="1729">
        <v>1996</v>
      </c>
    </row>
    <row r="1997" spans="2:2" x14ac:dyDescent="0.2">
      <c r="B1997" s="1729">
        <v>1997</v>
      </c>
    </row>
    <row r="1998" spans="2:2" x14ac:dyDescent="0.2">
      <c r="B1998" s="1729">
        <v>1998</v>
      </c>
    </row>
    <row r="1999" spans="2:2" x14ac:dyDescent="0.2">
      <c r="B1999" s="1729">
        <v>1999</v>
      </c>
    </row>
    <row r="2000" spans="2:2" x14ac:dyDescent="0.2">
      <c r="B2000" s="1729">
        <v>2000</v>
      </c>
    </row>
    <row r="2001" spans="2:2" x14ac:dyDescent="0.2">
      <c r="B2001" s="1729">
        <v>2001</v>
      </c>
    </row>
    <row r="2002" spans="2:2" x14ac:dyDescent="0.2">
      <c r="B2002" s="1729">
        <v>2002</v>
      </c>
    </row>
    <row r="2003" spans="2:2" x14ac:dyDescent="0.2">
      <c r="B2003" s="1729">
        <v>2003</v>
      </c>
    </row>
    <row r="2004" spans="2:2" x14ac:dyDescent="0.2">
      <c r="B2004" s="1729">
        <v>2004</v>
      </c>
    </row>
    <row r="2005" spans="2:2" x14ac:dyDescent="0.2">
      <c r="B2005" s="1729">
        <v>2005</v>
      </c>
    </row>
    <row r="2006" spans="2:2" x14ac:dyDescent="0.2">
      <c r="B2006" s="1729">
        <v>2006</v>
      </c>
    </row>
    <row r="2007" spans="2:2" x14ac:dyDescent="0.2">
      <c r="B2007" s="1729">
        <v>2007</v>
      </c>
    </row>
    <row r="2008" spans="2:2" x14ac:dyDescent="0.2">
      <c r="B2008" s="1729">
        <v>2008</v>
      </c>
    </row>
    <row r="2009" spans="2:2" x14ac:dyDescent="0.2">
      <c r="B2009" s="1729">
        <v>2009</v>
      </c>
    </row>
    <row r="2010" spans="2:2" x14ac:dyDescent="0.2">
      <c r="B2010" s="1729">
        <v>2010</v>
      </c>
    </row>
    <row r="2011" spans="2:2" x14ac:dyDescent="0.2">
      <c r="B2011" s="1729">
        <v>2011</v>
      </c>
    </row>
    <row r="2012" spans="2:2" x14ac:dyDescent="0.2">
      <c r="B2012" s="1729">
        <v>2012</v>
      </c>
    </row>
    <row r="2013" spans="2:2" x14ac:dyDescent="0.2">
      <c r="B2013" s="1729">
        <v>2013</v>
      </c>
    </row>
    <row r="2014" spans="2:2" x14ac:dyDescent="0.2">
      <c r="B2014" s="1729">
        <v>2014</v>
      </c>
    </row>
    <row r="2015" spans="2:2" x14ac:dyDescent="0.2">
      <c r="B2015" s="1729">
        <v>2015</v>
      </c>
    </row>
    <row r="2016" spans="2:2" x14ac:dyDescent="0.2">
      <c r="B2016" s="1729">
        <v>2016</v>
      </c>
    </row>
    <row r="2017" spans="2:2" x14ac:dyDescent="0.2">
      <c r="B2017" s="1729">
        <v>2017</v>
      </c>
    </row>
    <row r="2018" spans="2:2" x14ac:dyDescent="0.2">
      <c r="B2018" s="1729">
        <v>2018</v>
      </c>
    </row>
    <row r="2019" spans="2:2" x14ac:dyDescent="0.2">
      <c r="B2019" s="1729">
        <v>2019</v>
      </c>
    </row>
    <row r="2020" spans="2:2" x14ac:dyDescent="0.2">
      <c r="B2020" s="1729">
        <v>2020</v>
      </c>
    </row>
    <row r="2021" spans="2:2" x14ac:dyDescent="0.2">
      <c r="B2021" s="1729">
        <v>2021</v>
      </c>
    </row>
    <row r="2022" spans="2:2" x14ac:dyDescent="0.2">
      <c r="B2022" s="1729">
        <v>2022</v>
      </c>
    </row>
    <row r="2023" spans="2:2" x14ac:dyDescent="0.2">
      <c r="B2023" s="1729">
        <v>2023</v>
      </c>
    </row>
    <row r="2024" spans="2:2" x14ac:dyDescent="0.2">
      <c r="B2024" s="1729">
        <v>2024</v>
      </c>
    </row>
    <row r="2025" spans="2:2" x14ac:dyDescent="0.2">
      <c r="B2025" s="1729">
        <v>2025</v>
      </c>
    </row>
    <row r="2026" spans="2:2" x14ac:dyDescent="0.2">
      <c r="B2026" s="1729">
        <v>2026</v>
      </c>
    </row>
    <row r="2027" spans="2:2" x14ac:dyDescent="0.2">
      <c r="B2027" s="1729">
        <v>2027</v>
      </c>
    </row>
    <row r="2028" spans="2:2" x14ac:dyDescent="0.2">
      <c r="B2028" s="1729">
        <v>2028</v>
      </c>
    </row>
    <row r="2029" spans="2:2" x14ac:dyDescent="0.2">
      <c r="B2029" s="1729">
        <v>2029</v>
      </c>
    </row>
    <row r="2030" spans="2:2" x14ac:dyDescent="0.2">
      <c r="B2030" s="1729">
        <v>2030</v>
      </c>
    </row>
    <row r="2031" spans="2:2" x14ac:dyDescent="0.2">
      <c r="B2031" s="1729">
        <v>2031</v>
      </c>
    </row>
    <row r="2032" spans="2:2" x14ac:dyDescent="0.2">
      <c r="B2032" s="1729">
        <v>2032</v>
      </c>
    </row>
    <row r="2033" spans="2:2" x14ac:dyDescent="0.2">
      <c r="B2033" s="1729">
        <v>2033</v>
      </c>
    </row>
    <row r="2034" spans="2:2" x14ac:dyDescent="0.2">
      <c r="B2034" s="1729">
        <v>2034</v>
      </c>
    </row>
    <row r="2035" spans="2:2" x14ac:dyDescent="0.2">
      <c r="B2035" s="1729">
        <v>2035</v>
      </c>
    </row>
    <row r="2036" spans="2:2" x14ac:dyDescent="0.2">
      <c r="B2036" s="1729">
        <v>2036</v>
      </c>
    </row>
    <row r="2037" spans="2:2" x14ac:dyDescent="0.2">
      <c r="B2037" s="1729">
        <v>2037</v>
      </c>
    </row>
    <row r="2038" spans="2:2" x14ac:dyDescent="0.2">
      <c r="B2038" s="1729">
        <v>2038</v>
      </c>
    </row>
    <row r="2039" spans="2:2" x14ac:dyDescent="0.2">
      <c r="B2039" s="1729">
        <v>2039</v>
      </c>
    </row>
    <row r="2040" spans="2:2" x14ac:dyDescent="0.2">
      <c r="B2040" s="1729">
        <v>2040</v>
      </c>
    </row>
    <row r="2041" spans="2:2" x14ac:dyDescent="0.2">
      <c r="B2041" s="1729">
        <v>2041</v>
      </c>
    </row>
    <row r="2042" spans="2:2" x14ac:dyDescent="0.2">
      <c r="B2042" s="1729">
        <v>2042</v>
      </c>
    </row>
    <row r="2043" spans="2:2" x14ac:dyDescent="0.2">
      <c r="B2043" s="1729">
        <v>2043</v>
      </c>
    </row>
    <row r="2044" spans="2:2" x14ac:dyDescent="0.2">
      <c r="B2044" s="1729">
        <v>2044</v>
      </c>
    </row>
    <row r="2045" spans="2:2" x14ac:dyDescent="0.2">
      <c r="B2045" s="1729">
        <v>2045</v>
      </c>
    </row>
    <row r="2046" spans="2:2" x14ac:dyDescent="0.2">
      <c r="B2046" s="1729">
        <v>2046</v>
      </c>
    </row>
    <row r="2047" spans="2:2" x14ac:dyDescent="0.2">
      <c r="B2047" s="1729">
        <v>2047</v>
      </c>
    </row>
    <row r="2048" spans="2:2" x14ac:dyDescent="0.2">
      <c r="B2048" s="1729">
        <v>2048</v>
      </c>
    </row>
    <row r="2049" spans="2:2" x14ac:dyDescent="0.2">
      <c r="B2049" s="1729">
        <v>2049</v>
      </c>
    </row>
    <row r="2050" spans="2:2" x14ac:dyDescent="0.2">
      <c r="B2050" s="1729">
        <v>2050</v>
      </c>
    </row>
    <row r="2051" spans="2:2" x14ac:dyDescent="0.2">
      <c r="B2051" s="1729">
        <v>2051</v>
      </c>
    </row>
    <row r="2052" spans="2:2" x14ac:dyDescent="0.2">
      <c r="B2052" s="1729">
        <v>2052</v>
      </c>
    </row>
    <row r="2053" spans="2:2" x14ac:dyDescent="0.2">
      <c r="B2053" s="1729">
        <v>2053</v>
      </c>
    </row>
    <row r="2054" spans="2:2" x14ac:dyDescent="0.2">
      <c r="B2054" s="1729">
        <v>2054</v>
      </c>
    </row>
    <row r="2055" spans="2:2" x14ac:dyDescent="0.2">
      <c r="B2055" s="1729">
        <v>2055</v>
      </c>
    </row>
    <row r="2056" spans="2:2" x14ac:dyDescent="0.2">
      <c r="B2056" s="1729">
        <v>2056</v>
      </c>
    </row>
    <row r="2057" spans="2:2" x14ac:dyDescent="0.2">
      <c r="B2057" s="1729">
        <v>2057</v>
      </c>
    </row>
    <row r="2058" spans="2:2" x14ac:dyDescent="0.2">
      <c r="B2058" s="1729">
        <v>2058</v>
      </c>
    </row>
    <row r="2059" spans="2:2" x14ac:dyDescent="0.2">
      <c r="B2059" s="1729">
        <v>2059</v>
      </c>
    </row>
    <row r="2060" spans="2:2" x14ac:dyDescent="0.2">
      <c r="B2060" s="1729">
        <v>2060</v>
      </c>
    </row>
    <row r="2061" spans="2:2" x14ac:dyDescent="0.2">
      <c r="B2061" s="1729">
        <v>2061</v>
      </c>
    </row>
    <row r="2062" spans="2:2" x14ac:dyDescent="0.2">
      <c r="B2062" s="1729">
        <v>2062</v>
      </c>
    </row>
    <row r="2063" spans="2:2" x14ac:dyDescent="0.2">
      <c r="B2063" s="1729">
        <v>2063</v>
      </c>
    </row>
    <row r="2064" spans="2:2" x14ac:dyDescent="0.2">
      <c r="B2064" s="1729">
        <v>2064</v>
      </c>
    </row>
    <row r="2065" spans="2:2" x14ac:dyDescent="0.2">
      <c r="B2065" s="1729">
        <v>2065</v>
      </c>
    </row>
    <row r="2066" spans="2:2" x14ac:dyDescent="0.2">
      <c r="B2066" s="1729">
        <v>2066</v>
      </c>
    </row>
    <row r="2067" spans="2:2" x14ac:dyDescent="0.2">
      <c r="B2067" s="1729">
        <v>2067</v>
      </c>
    </row>
    <row r="2068" spans="2:2" x14ac:dyDescent="0.2">
      <c r="B2068" s="1729">
        <v>2068</v>
      </c>
    </row>
    <row r="2069" spans="2:2" x14ac:dyDescent="0.2">
      <c r="B2069" s="1729">
        <v>2069</v>
      </c>
    </row>
    <row r="2070" spans="2:2" x14ac:dyDescent="0.2">
      <c r="B2070" s="1729">
        <v>2070</v>
      </c>
    </row>
    <row r="2071" spans="2:2" x14ac:dyDescent="0.2">
      <c r="B2071" s="1729">
        <v>2071</v>
      </c>
    </row>
    <row r="2072" spans="2:2" x14ac:dyDescent="0.2">
      <c r="B2072" s="1729">
        <v>2072</v>
      </c>
    </row>
    <row r="2073" spans="2:2" x14ac:dyDescent="0.2">
      <c r="B2073" s="1729">
        <v>2073</v>
      </c>
    </row>
    <row r="2074" spans="2:2" x14ac:dyDescent="0.2">
      <c r="B2074" s="1729">
        <v>2074</v>
      </c>
    </row>
    <row r="2075" spans="2:2" x14ac:dyDescent="0.2">
      <c r="B2075" s="1729">
        <v>2075</v>
      </c>
    </row>
    <row r="2076" spans="2:2" x14ac:dyDescent="0.2">
      <c r="B2076" s="1729">
        <v>2076</v>
      </c>
    </row>
    <row r="2077" spans="2:2" x14ac:dyDescent="0.2">
      <c r="B2077" s="1729">
        <v>2077</v>
      </c>
    </row>
    <row r="2078" spans="2:2" x14ac:dyDescent="0.2">
      <c r="B2078" s="1729">
        <v>2078</v>
      </c>
    </row>
    <row r="2079" spans="2:2" x14ac:dyDescent="0.2">
      <c r="B2079" s="1729">
        <v>2079</v>
      </c>
    </row>
    <row r="2080" spans="2:2" x14ac:dyDescent="0.2">
      <c r="B2080" s="1729">
        <v>2080</v>
      </c>
    </row>
    <row r="2081" spans="2:2" x14ac:dyDescent="0.2">
      <c r="B2081" s="1729">
        <v>2081</v>
      </c>
    </row>
    <row r="2082" spans="2:2" x14ac:dyDescent="0.2">
      <c r="B2082" s="1729">
        <v>2082</v>
      </c>
    </row>
    <row r="2083" spans="2:2" x14ac:dyDescent="0.2">
      <c r="B2083" s="1729">
        <v>2083</v>
      </c>
    </row>
    <row r="2084" spans="2:2" x14ac:dyDescent="0.2">
      <c r="B2084" s="1729">
        <v>2084</v>
      </c>
    </row>
    <row r="2085" spans="2:2" x14ac:dyDescent="0.2">
      <c r="B2085" s="1729">
        <v>2085</v>
      </c>
    </row>
    <row r="2086" spans="2:2" x14ac:dyDescent="0.2">
      <c r="B2086" s="1729">
        <v>2086</v>
      </c>
    </row>
    <row r="2087" spans="2:2" x14ac:dyDescent="0.2">
      <c r="B2087" s="1729">
        <v>2087</v>
      </c>
    </row>
    <row r="2088" spans="2:2" x14ac:dyDescent="0.2">
      <c r="B2088" s="1729">
        <v>2088</v>
      </c>
    </row>
    <row r="2089" spans="2:2" x14ac:dyDescent="0.2">
      <c r="B2089" s="1729">
        <v>2089</v>
      </c>
    </row>
    <row r="2090" spans="2:2" x14ac:dyDescent="0.2">
      <c r="B2090" s="1729">
        <v>2090</v>
      </c>
    </row>
    <row r="2091" spans="2:2" x14ac:dyDescent="0.2">
      <c r="B2091" s="1729">
        <v>2091</v>
      </c>
    </row>
    <row r="2092" spans="2:2" x14ac:dyDescent="0.2">
      <c r="B2092" s="1729">
        <v>2092</v>
      </c>
    </row>
    <row r="2093" spans="2:2" x14ac:dyDescent="0.2">
      <c r="B2093" s="1729">
        <v>2093</v>
      </c>
    </row>
    <row r="2094" spans="2:2" x14ac:dyDescent="0.2">
      <c r="B2094" s="1729">
        <v>2094</v>
      </c>
    </row>
    <row r="2095" spans="2:2" x14ac:dyDescent="0.2">
      <c r="B2095" s="1729">
        <v>2095</v>
      </c>
    </row>
    <row r="2096" spans="2:2" x14ac:dyDescent="0.2">
      <c r="B2096" s="1729">
        <v>2096</v>
      </c>
    </row>
    <row r="2097" spans="2:2" x14ac:dyDescent="0.2">
      <c r="B2097" s="1729">
        <v>2097</v>
      </c>
    </row>
    <row r="2098" spans="2:2" x14ac:dyDescent="0.2">
      <c r="B2098" s="1729">
        <v>2098</v>
      </c>
    </row>
    <row r="2099" spans="2:2" x14ac:dyDescent="0.2">
      <c r="B2099" s="1729">
        <v>2099</v>
      </c>
    </row>
    <row r="2100" spans="2:2" x14ac:dyDescent="0.2">
      <c r="B2100" s="1729">
        <v>2100</v>
      </c>
    </row>
    <row r="2101" spans="2:2" x14ac:dyDescent="0.2">
      <c r="B2101" s="1729">
        <v>2101</v>
      </c>
    </row>
    <row r="2102" spans="2:2" x14ac:dyDescent="0.2">
      <c r="B2102" s="1729">
        <v>2102</v>
      </c>
    </row>
    <row r="2103" spans="2:2" x14ac:dyDescent="0.2">
      <c r="B2103" s="1729">
        <v>2103</v>
      </c>
    </row>
    <row r="2104" spans="2:2" x14ac:dyDescent="0.2">
      <c r="B2104" s="1729">
        <v>2104</v>
      </c>
    </row>
    <row r="2105" spans="2:2" x14ac:dyDescent="0.2">
      <c r="B2105" s="1729">
        <v>2105</v>
      </c>
    </row>
    <row r="2106" spans="2:2" x14ac:dyDescent="0.2">
      <c r="B2106" s="1729">
        <v>2106</v>
      </c>
    </row>
    <row r="2107" spans="2:2" x14ac:dyDescent="0.2">
      <c r="B2107" s="1729">
        <v>2107</v>
      </c>
    </row>
    <row r="2108" spans="2:2" x14ac:dyDescent="0.2">
      <c r="B2108" s="1729">
        <v>2108</v>
      </c>
    </row>
    <row r="2109" spans="2:2" x14ac:dyDescent="0.2">
      <c r="B2109" s="1729">
        <v>2109</v>
      </c>
    </row>
    <row r="2110" spans="2:2" x14ac:dyDescent="0.2">
      <c r="B2110" s="1729">
        <v>2110</v>
      </c>
    </row>
    <row r="2111" spans="2:2" x14ac:dyDescent="0.2">
      <c r="B2111" s="1729">
        <v>2111</v>
      </c>
    </row>
    <row r="2112" spans="2:2" x14ac:dyDescent="0.2">
      <c r="B2112" s="1729">
        <v>2112</v>
      </c>
    </row>
    <row r="2113" spans="2:2" x14ac:dyDescent="0.2">
      <c r="B2113" s="1729">
        <v>2113</v>
      </c>
    </row>
    <row r="2114" spans="2:2" x14ac:dyDescent="0.2">
      <c r="B2114" s="1729">
        <v>2114</v>
      </c>
    </row>
    <row r="2115" spans="2:2" x14ac:dyDescent="0.2">
      <c r="B2115" s="1729">
        <v>2115</v>
      </c>
    </row>
    <row r="2116" spans="2:2" x14ac:dyDescent="0.2">
      <c r="B2116" s="1729">
        <v>2116</v>
      </c>
    </row>
    <row r="2117" spans="2:2" x14ac:dyDescent="0.2">
      <c r="B2117" s="1729">
        <v>2117</v>
      </c>
    </row>
    <row r="2118" spans="2:2" x14ac:dyDescent="0.2">
      <c r="B2118" s="1729">
        <v>2118</v>
      </c>
    </row>
    <row r="2119" spans="2:2" x14ac:dyDescent="0.2">
      <c r="B2119" s="1729">
        <v>2119</v>
      </c>
    </row>
    <row r="2120" spans="2:2" x14ac:dyDescent="0.2">
      <c r="B2120" s="1729">
        <v>2120</v>
      </c>
    </row>
    <row r="2121" spans="2:2" x14ac:dyDescent="0.2">
      <c r="B2121" s="1729">
        <v>2121</v>
      </c>
    </row>
    <row r="2122" spans="2:2" x14ac:dyDescent="0.2">
      <c r="B2122" s="1729">
        <v>2122</v>
      </c>
    </row>
    <row r="2123" spans="2:2" x14ac:dyDescent="0.2">
      <c r="B2123" s="1729">
        <v>2123</v>
      </c>
    </row>
    <row r="2124" spans="2:2" x14ac:dyDescent="0.2">
      <c r="B2124" s="1729">
        <v>2124</v>
      </c>
    </row>
    <row r="2125" spans="2:2" x14ac:dyDescent="0.2">
      <c r="B2125" s="1729">
        <v>2125</v>
      </c>
    </row>
    <row r="2126" spans="2:2" x14ac:dyDescent="0.2">
      <c r="B2126" s="1729">
        <v>2126</v>
      </c>
    </row>
    <row r="2127" spans="2:2" x14ac:dyDescent="0.2">
      <c r="B2127" s="1729">
        <v>2127</v>
      </c>
    </row>
    <row r="2128" spans="2:2" x14ac:dyDescent="0.2">
      <c r="B2128" s="1729">
        <v>2128</v>
      </c>
    </row>
    <row r="2129" spans="2:2" x14ac:dyDescent="0.2">
      <c r="B2129" s="1729">
        <v>2129</v>
      </c>
    </row>
    <row r="2130" spans="2:2" x14ac:dyDescent="0.2">
      <c r="B2130" s="1729">
        <v>2130</v>
      </c>
    </row>
    <row r="2131" spans="2:2" x14ac:dyDescent="0.2">
      <c r="B2131" s="1729">
        <v>2131</v>
      </c>
    </row>
    <row r="2132" spans="2:2" x14ac:dyDescent="0.2">
      <c r="B2132" s="1729">
        <v>2132</v>
      </c>
    </row>
    <row r="2133" spans="2:2" x14ac:dyDescent="0.2">
      <c r="B2133" s="1729">
        <v>2133</v>
      </c>
    </row>
    <row r="2134" spans="2:2" x14ac:dyDescent="0.2">
      <c r="B2134" s="1729">
        <v>2134</v>
      </c>
    </row>
    <row r="2135" spans="2:2" x14ac:dyDescent="0.2">
      <c r="B2135" s="1729">
        <v>2135</v>
      </c>
    </row>
    <row r="2136" spans="2:2" x14ac:dyDescent="0.2">
      <c r="B2136" s="1729">
        <v>2136</v>
      </c>
    </row>
    <row r="2137" spans="2:2" x14ac:dyDescent="0.2">
      <c r="B2137" s="1729">
        <v>2137</v>
      </c>
    </row>
    <row r="2138" spans="2:2" x14ac:dyDescent="0.2">
      <c r="B2138" s="1729">
        <v>2138</v>
      </c>
    </row>
    <row r="2139" spans="2:2" x14ac:dyDescent="0.2">
      <c r="B2139" s="1729">
        <v>2139</v>
      </c>
    </row>
    <row r="2140" spans="2:2" x14ac:dyDescent="0.2">
      <c r="B2140" s="1729">
        <v>2140</v>
      </c>
    </row>
    <row r="2141" spans="2:2" x14ac:dyDescent="0.2">
      <c r="B2141" s="1729">
        <v>2141</v>
      </c>
    </row>
    <row r="2142" spans="2:2" x14ac:dyDescent="0.2">
      <c r="B2142" s="1729">
        <v>2142</v>
      </c>
    </row>
    <row r="2143" spans="2:2" x14ac:dyDescent="0.2">
      <c r="B2143" s="1729">
        <v>2143</v>
      </c>
    </row>
    <row r="2144" spans="2:2" x14ac:dyDescent="0.2">
      <c r="B2144" s="1729">
        <v>2144</v>
      </c>
    </row>
    <row r="2145" spans="2:2" x14ac:dyDescent="0.2">
      <c r="B2145" s="1729">
        <v>2145</v>
      </c>
    </row>
    <row r="2146" spans="2:2" x14ac:dyDescent="0.2">
      <c r="B2146" s="1729">
        <v>2146</v>
      </c>
    </row>
    <row r="2147" spans="2:2" x14ac:dyDescent="0.2">
      <c r="B2147" s="1729">
        <v>2147</v>
      </c>
    </row>
    <row r="2148" spans="2:2" x14ac:dyDescent="0.2">
      <c r="B2148" s="1729">
        <v>2148</v>
      </c>
    </row>
    <row r="2149" spans="2:2" x14ac:dyDescent="0.2">
      <c r="B2149" s="1729">
        <v>2149</v>
      </c>
    </row>
    <row r="2150" spans="2:2" x14ac:dyDescent="0.2">
      <c r="B2150" s="1729">
        <v>2150</v>
      </c>
    </row>
    <row r="2151" spans="2:2" x14ac:dyDescent="0.2">
      <c r="B2151" s="1729">
        <v>2151</v>
      </c>
    </row>
    <row r="2152" spans="2:2" x14ac:dyDescent="0.2">
      <c r="B2152" s="1729">
        <v>2152</v>
      </c>
    </row>
    <row r="2153" spans="2:2" x14ac:dyDescent="0.2">
      <c r="B2153" s="1729">
        <v>2153</v>
      </c>
    </row>
    <row r="2154" spans="2:2" x14ac:dyDescent="0.2">
      <c r="B2154" s="1729">
        <v>2154</v>
      </c>
    </row>
    <row r="2155" spans="2:2" x14ac:dyDescent="0.2">
      <c r="B2155" s="1729">
        <v>2155</v>
      </c>
    </row>
    <row r="2156" spans="2:2" x14ac:dyDescent="0.2">
      <c r="B2156" s="1729">
        <v>2156</v>
      </c>
    </row>
    <row r="2157" spans="2:2" x14ac:dyDescent="0.2">
      <c r="B2157" s="1729">
        <v>2157</v>
      </c>
    </row>
    <row r="2158" spans="2:2" x14ac:dyDescent="0.2">
      <c r="B2158" s="1729">
        <v>2158</v>
      </c>
    </row>
    <row r="2159" spans="2:2" x14ac:dyDescent="0.2">
      <c r="B2159" s="1729">
        <v>2159</v>
      </c>
    </row>
    <row r="2160" spans="2:2" x14ac:dyDescent="0.2">
      <c r="B2160" s="1729">
        <v>2160</v>
      </c>
    </row>
    <row r="2161" spans="2:2" x14ac:dyDescent="0.2">
      <c r="B2161" s="1729">
        <v>2161</v>
      </c>
    </row>
    <row r="2162" spans="2:2" x14ac:dyDescent="0.2">
      <c r="B2162" s="1729">
        <v>2162</v>
      </c>
    </row>
    <row r="2163" spans="2:2" x14ac:dyDescent="0.2">
      <c r="B2163" s="1729">
        <v>2163</v>
      </c>
    </row>
    <row r="2164" spans="2:2" x14ac:dyDescent="0.2">
      <c r="B2164" s="1729">
        <v>2164</v>
      </c>
    </row>
    <row r="2165" spans="2:2" x14ac:dyDescent="0.2">
      <c r="B2165" s="1729">
        <v>2165</v>
      </c>
    </row>
    <row r="2166" spans="2:2" x14ac:dyDescent="0.2">
      <c r="B2166" s="1729">
        <v>2166</v>
      </c>
    </row>
    <row r="2167" spans="2:2" x14ac:dyDescent="0.2">
      <c r="B2167" s="1729">
        <v>2167</v>
      </c>
    </row>
    <row r="2168" spans="2:2" x14ac:dyDescent="0.2">
      <c r="B2168" s="1729">
        <v>2168</v>
      </c>
    </row>
    <row r="2169" spans="2:2" x14ac:dyDescent="0.2">
      <c r="B2169" s="1729">
        <v>2169</v>
      </c>
    </row>
    <row r="2170" spans="2:2" x14ac:dyDescent="0.2">
      <c r="B2170" s="1729">
        <v>2170</v>
      </c>
    </row>
    <row r="2171" spans="2:2" x14ac:dyDescent="0.2">
      <c r="B2171" s="1729">
        <v>2171</v>
      </c>
    </row>
    <row r="2172" spans="2:2" x14ac:dyDescent="0.2">
      <c r="B2172" s="1729">
        <v>2172</v>
      </c>
    </row>
    <row r="2173" spans="2:2" x14ac:dyDescent="0.2">
      <c r="B2173" s="1729">
        <v>2173</v>
      </c>
    </row>
    <row r="2174" spans="2:2" x14ac:dyDescent="0.2">
      <c r="B2174" s="1729">
        <v>2174</v>
      </c>
    </row>
    <row r="2175" spans="2:2" x14ac:dyDescent="0.2">
      <c r="B2175" s="1729">
        <v>2175</v>
      </c>
    </row>
    <row r="2176" spans="2:2" x14ac:dyDescent="0.2">
      <c r="B2176" s="1729">
        <v>2176</v>
      </c>
    </row>
    <row r="2177" spans="2:2" x14ac:dyDescent="0.2">
      <c r="B2177" s="1729">
        <v>2177</v>
      </c>
    </row>
    <row r="2178" spans="2:2" x14ac:dyDescent="0.2">
      <c r="B2178" s="1729">
        <v>2178</v>
      </c>
    </row>
    <row r="2179" spans="2:2" x14ac:dyDescent="0.2">
      <c r="B2179" s="1729">
        <v>2179</v>
      </c>
    </row>
    <row r="2180" spans="2:2" x14ac:dyDescent="0.2">
      <c r="B2180" s="1729">
        <v>2180</v>
      </c>
    </row>
    <row r="2181" spans="2:2" x14ac:dyDescent="0.2">
      <c r="B2181" s="1729">
        <v>2181</v>
      </c>
    </row>
    <row r="2182" spans="2:2" x14ac:dyDescent="0.2">
      <c r="B2182" s="1729">
        <v>2182</v>
      </c>
    </row>
    <row r="2183" spans="2:2" x14ac:dyDescent="0.2">
      <c r="B2183" s="1729">
        <v>2183</v>
      </c>
    </row>
    <row r="2184" spans="2:2" x14ac:dyDescent="0.2">
      <c r="B2184" s="1729">
        <v>2184</v>
      </c>
    </row>
    <row r="2185" spans="2:2" x14ac:dyDescent="0.2">
      <c r="B2185" s="1729">
        <v>2185</v>
      </c>
    </row>
    <row r="2186" spans="2:2" x14ac:dyDescent="0.2">
      <c r="B2186" s="1729">
        <v>2186</v>
      </c>
    </row>
    <row r="2187" spans="2:2" x14ac:dyDescent="0.2">
      <c r="B2187" s="1729">
        <v>2187</v>
      </c>
    </row>
    <row r="2188" spans="2:2" x14ac:dyDescent="0.2">
      <c r="B2188" s="1729">
        <v>2188</v>
      </c>
    </row>
    <row r="2189" spans="2:2" x14ac:dyDescent="0.2">
      <c r="B2189" s="1729">
        <v>2189</v>
      </c>
    </row>
    <row r="2190" spans="2:2" x14ac:dyDescent="0.2">
      <c r="B2190" s="1729">
        <v>2190</v>
      </c>
    </row>
    <row r="2191" spans="2:2" x14ac:dyDescent="0.2">
      <c r="B2191" s="1729">
        <v>2191</v>
      </c>
    </row>
    <row r="2192" spans="2:2" x14ac:dyDescent="0.2">
      <c r="B2192" s="1729">
        <v>2192</v>
      </c>
    </row>
    <row r="2193" spans="2:2" x14ac:dyDescent="0.2">
      <c r="B2193" s="1729">
        <v>2193</v>
      </c>
    </row>
    <row r="2194" spans="2:2" x14ac:dyDescent="0.2">
      <c r="B2194" s="1729">
        <v>2194</v>
      </c>
    </row>
    <row r="2195" spans="2:2" x14ac:dyDescent="0.2">
      <c r="B2195" s="1729">
        <v>2195</v>
      </c>
    </row>
    <row r="2196" spans="2:2" x14ac:dyDescent="0.2">
      <c r="B2196" s="1729">
        <v>2196</v>
      </c>
    </row>
    <row r="2197" spans="2:2" x14ac:dyDescent="0.2">
      <c r="B2197" s="1729">
        <v>2197</v>
      </c>
    </row>
    <row r="2198" spans="2:2" x14ac:dyDescent="0.2">
      <c r="B2198" s="1729">
        <v>2198</v>
      </c>
    </row>
    <row r="2199" spans="2:2" x14ac:dyDescent="0.2">
      <c r="B2199" s="1729">
        <v>2199</v>
      </c>
    </row>
    <row r="2200" spans="2:2" x14ac:dyDescent="0.2">
      <c r="B2200" s="1729">
        <v>2200</v>
      </c>
    </row>
    <row r="2201" spans="2:2" x14ac:dyDescent="0.2">
      <c r="B2201" s="1729">
        <v>2201</v>
      </c>
    </row>
    <row r="2202" spans="2:2" x14ac:dyDescent="0.2">
      <c r="B2202" s="1729">
        <v>2202</v>
      </c>
    </row>
    <row r="2203" spans="2:2" x14ac:dyDescent="0.2">
      <c r="B2203" s="1729">
        <v>2203</v>
      </c>
    </row>
    <row r="2204" spans="2:2" x14ac:dyDescent="0.2">
      <c r="B2204" s="1729">
        <v>2204</v>
      </c>
    </row>
    <row r="2205" spans="2:2" x14ac:dyDescent="0.2">
      <c r="B2205" s="1729">
        <v>2205</v>
      </c>
    </row>
    <row r="2206" spans="2:2" x14ac:dyDescent="0.2">
      <c r="B2206" s="1729">
        <v>2206</v>
      </c>
    </row>
    <row r="2207" spans="2:2" x14ac:dyDescent="0.2">
      <c r="B2207" s="1729">
        <v>2207</v>
      </c>
    </row>
    <row r="2208" spans="2:2" x14ac:dyDescent="0.2">
      <c r="B2208" s="1729">
        <v>2208</v>
      </c>
    </row>
    <row r="2209" spans="2:2" x14ac:dyDescent="0.2">
      <c r="B2209" s="1729">
        <v>2209</v>
      </c>
    </row>
    <row r="2210" spans="2:2" x14ac:dyDescent="0.2">
      <c r="B2210" s="1729">
        <v>2210</v>
      </c>
    </row>
    <row r="2211" spans="2:2" x14ac:dyDescent="0.2">
      <c r="B2211" s="1729">
        <v>2211</v>
      </c>
    </row>
    <row r="2212" spans="2:2" x14ac:dyDescent="0.2">
      <c r="B2212" s="1729">
        <v>2212</v>
      </c>
    </row>
    <row r="2213" spans="2:2" x14ac:dyDescent="0.2">
      <c r="B2213" s="1729">
        <v>2213</v>
      </c>
    </row>
    <row r="2214" spans="2:2" x14ac:dyDescent="0.2">
      <c r="B2214" s="1729">
        <v>2214</v>
      </c>
    </row>
    <row r="2215" spans="2:2" x14ac:dyDescent="0.2">
      <c r="B2215" s="1729">
        <v>2215</v>
      </c>
    </row>
    <row r="2216" spans="2:2" x14ac:dyDescent="0.2">
      <c r="B2216" s="1729">
        <v>2216</v>
      </c>
    </row>
    <row r="2217" spans="2:2" x14ac:dyDescent="0.2">
      <c r="B2217" s="1729">
        <v>2217</v>
      </c>
    </row>
    <row r="2218" spans="2:2" x14ac:dyDescent="0.2">
      <c r="B2218" s="1729">
        <v>2218</v>
      </c>
    </row>
    <row r="2219" spans="2:2" x14ac:dyDescent="0.2">
      <c r="B2219" s="1729">
        <v>2219</v>
      </c>
    </row>
    <row r="2220" spans="2:2" x14ac:dyDescent="0.2">
      <c r="B2220" s="1729">
        <v>2220</v>
      </c>
    </row>
    <row r="2221" spans="2:2" x14ac:dyDescent="0.2">
      <c r="B2221" s="1729">
        <v>2221</v>
      </c>
    </row>
    <row r="2222" spans="2:2" x14ac:dyDescent="0.2">
      <c r="B2222" s="1729">
        <v>2222</v>
      </c>
    </row>
    <row r="2223" spans="2:2" x14ac:dyDescent="0.2">
      <c r="B2223" s="1729">
        <v>2223</v>
      </c>
    </row>
    <row r="2224" spans="2:2" x14ac:dyDescent="0.2">
      <c r="B2224" s="1729">
        <v>2224</v>
      </c>
    </row>
    <row r="2225" spans="2:2" x14ac:dyDescent="0.2">
      <c r="B2225" s="1729">
        <v>2225</v>
      </c>
    </row>
    <row r="2226" spans="2:2" x14ac:dyDescent="0.2">
      <c r="B2226" s="1729">
        <v>2226</v>
      </c>
    </row>
    <row r="2227" spans="2:2" x14ac:dyDescent="0.2">
      <c r="B2227" s="1729">
        <v>2227</v>
      </c>
    </row>
    <row r="2228" spans="2:2" x14ac:dyDescent="0.2">
      <c r="B2228" s="1729">
        <v>2228</v>
      </c>
    </row>
    <row r="2229" spans="2:2" x14ac:dyDescent="0.2">
      <c r="B2229" s="1729">
        <v>2229</v>
      </c>
    </row>
    <row r="2230" spans="2:2" x14ac:dyDescent="0.2">
      <c r="B2230" s="1729">
        <v>2230</v>
      </c>
    </row>
    <row r="2231" spans="2:2" x14ac:dyDescent="0.2">
      <c r="B2231" s="1729">
        <v>2231</v>
      </c>
    </row>
    <row r="2232" spans="2:2" x14ac:dyDescent="0.2">
      <c r="B2232" s="1729">
        <v>2232</v>
      </c>
    </row>
    <row r="2233" spans="2:2" x14ac:dyDescent="0.2">
      <c r="B2233" s="1729">
        <v>2233</v>
      </c>
    </row>
    <row r="2234" spans="2:2" x14ac:dyDescent="0.2">
      <c r="B2234" s="1729">
        <v>2234</v>
      </c>
    </row>
    <row r="2235" spans="2:2" x14ac:dyDescent="0.2">
      <c r="B2235" s="1729">
        <v>2235</v>
      </c>
    </row>
    <row r="2236" spans="2:2" x14ac:dyDescent="0.2">
      <c r="B2236" s="1729">
        <v>2236</v>
      </c>
    </row>
    <row r="2237" spans="2:2" x14ac:dyDescent="0.2">
      <c r="B2237" s="1729">
        <v>2237</v>
      </c>
    </row>
    <row r="2238" spans="2:2" x14ac:dyDescent="0.2">
      <c r="B2238" s="1729">
        <v>2238</v>
      </c>
    </row>
    <row r="2239" spans="2:2" x14ac:dyDescent="0.2">
      <c r="B2239" s="1729">
        <v>2239</v>
      </c>
    </row>
    <row r="2240" spans="2:2" x14ac:dyDescent="0.2">
      <c r="B2240" s="1729">
        <v>2240</v>
      </c>
    </row>
    <row r="2241" spans="2:2" x14ac:dyDescent="0.2">
      <c r="B2241" s="1729">
        <v>2241</v>
      </c>
    </row>
    <row r="2242" spans="2:2" x14ac:dyDescent="0.2">
      <c r="B2242" s="1729">
        <v>2242</v>
      </c>
    </row>
    <row r="2243" spans="2:2" x14ac:dyDescent="0.2">
      <c r="B2243" s="1729">
        <v>2243</v>
      </c>
    </row>
    <row r="2244" spans="2:2" x14ac:dyDescent="0.2">
      <c r="B2244" s="1729">
        <v>2244</v>
      </c>
    </row>
    <row r="2245" spans="2:2" x14ac:dyDescent="0.2">
      <c r="B2245" s="1729">
        <v>2245</v>
      </c>
    </row>
    <row r="2246" spans="2:2" x14ac:dyDescent="0.2">
      <c r="B2246" s="1729">
        <v>2246</v>
      </c>
    </row>
    <row r="2247" spans="2:2" x14ac:dyDescent="0.2">
      <c r="B2247" s="1729">
        <v>2247</v>
      </c>
    </row>
    <row r="2248" spans="2:2" x14ac:dyDescent="0.2">
      <c r="B2248" s="1729">
        <v>2248</v>
      </c>
    </row>
    <row r="2249" spans="2:2" x14ac:dyDescent="0.2">
      <c r="B2249" s="1729">
        <v>2249</v>
      </c>
    </row>
    <row r="2250" spans="2:2" x14ac:dyDescent="0.2">
      <c r="B2250" s="1729">
        <v>2250</v>
      </c>
    </row>
    <row r="2251" spans="2:2" x14ac:dyDescent="0.2">
      <c r="B2251" s="1729">
        <v>2251</v>
      </c>
    </row>
    <row r="2252" spans="2:2" x14ac:dyDescent="0.2">
      <c r="B2252" s="1729">
        <v>2252</v>
      </c>
    </row>
    <row r="2253" spans="2:2" x14ac:dyDescent="0.2">
      <c r="B2253" s="1729">
        <v>2253</v>
      </c>
    </row>
    <row r="2254" spans="2:2" x14ac:dyDescent="0.2">
      <c r="B2254" s="1729">
        <v>2254</v>
      </c>
    </row>
    <row r="2255" spans="2:2" x14ac:dyDescent="0.2">
      <c r="B2255" s="1729">
        <v>2255</v>
      </c>
    </row>
    <row r="2256" spans="2:2" x14ac:dyDescent="0.2">
      <c r="B2256" s="1729">
        <v>2256</v>
      </c>
    </row>
    <row r="2257" spans="2:2" x14ac:dyDescent="0.2">
      <c r="B2257" s="1729">
        <v>2257</v>
      </c>
    </row>
    <row r="2258" spans="2:2" x14ac:dyDescent="0.2">
      <c r="B2258" s="1729">
        <v>2258</v>
      </c>
    </row>
    <row r="2259" spans="2:2" x14ac:dyDescent="0.2">
      <c r="B2259" s="1729">
        <v>2259</v>
      </c>
    </row>
    <row r="2260" spans="2:2" x14ac:dyDescent="0.2">
      <c r="B2260" s="1729">
        <v>2260</v>
      </c>
    </row>
    <row r="2261" spans="2:2" x14ac:dyDescent="0.2">
      <c r="B2261" s="1729">
        <v>2261</v>
      </c>
    </row>
    <row r="2262" spans="2:2" x14ac:dyDescent="0.2">
      <c r="B2262" s="1729">
        <v>2262</v>
      </c>
    </row>
    <row r="2263" spans="2:2" x14ac:dyDescent="0.2">
      <c r="B2263" s="1729">
        <v>2263</v>
      </c>
    </row>
    <row r="2264" spans="2:2" x14ac:dyDescent="0.2">
      <c r="B2264" s="1729">
        <v>2264</v>
      </c>
    </row>
    <row r="2265" spans="2:2" x14ac:dyDescent="0.2">
      <c r="B2265" s="1729">
        <v>2265</v>
      </c>
    </row>
    <row r="2266" spans="2:2" x14ac:dyDescent="0.2">
      <c r="B2266" s="1729">
        <v>2266</v>
      </c>
    </row>
    <row r="2267" spans="2:2" x14ac:dyDescent="0.2">
      <c r="B2267" s="1729">
        <v>2267</v>
      </c>
    </row>
    <row r="2268" spans="2:2" x14ac:dyDescent="0.2">
      <c r="B2268" s="1729">
        <v>2268</v>
      </c>
    </row>
    <row r="2269" spans="2:2" x14ac:dyDescent="0.2">
      <c r="B2269" s="1729">
        <v>2269</v>
      </c>
    </row>
    <row r="2270" spans="2:2" x14ac:dyDescent="0.2">
      <c r="B2270" s="1729">
        <v>2270</v>
      </c>
    </row>
    <row r="2271" spans="2:2" x14ac:dyDescent="0.2">
      <c r="B2271" s="1729">
        <v>2271</v>
      </c>
    </row>
    <row r="2272" spans="2:2" x14ac:dyDescent="0.2">
      <c r="B2272" s="1729">
        <v>2272</v>
      </c>
    </row>
    <row r="2273" spans="2:2" x14ac:dyDescent="0.2">
      <c r="B2273" s="1729">
        <v>2273</v>
      </c>
    </row>
    <row r="2274" spans="2:2" x14ac:dyDescent="0.2">
      <c r="B2274" s="1729">
        <v>2274</v>
      </c>
    </row>
    <row r="2275" spans="2:2" x14ac:dyDescent="0.2">
      <c r="B2275" s="1729">
        <v>2275</v>
      </c>
    </row>
    <row r="2276" spans="2:2" x14ac:dyDescent="0.2">
      <c r="B2276" s="1729">
        <v>2276</v>
      </c>
    </row>
    <row r="2277" spans="2:2" x14ac:dyDescent="0.2">
      <c r="B2277" s="1729">
        <v>2277</v>
      </c>
    </row>
    <row r="2278" spans="2:2" x14ac:dyDescent="0.2">
      <c r="B2278" s="1729">
        <v>2278</v>
      </c>
    </row>
    <row r="2279" spans="2:2" x14ac:dyDescent="0.2">
      <c r="B2279" s="1729">
        <v>2279</v>
      </c>
    </row>
    <row r="2280" spans="2:2" x14ac:dyDescent="0.2">
      <c r="B2280" s="1729">
        <v>2280</v>
      </c>
    </row>
    <row r="2281" spans="2:2" x14ac:dyDescent="0.2">
      <c r="B2281" s="1729">
        <v>2281</v>
      </c>
    </row>
    <row r="2282" spans="2:2" x14ac:dyDescent="0.2">
      <c r="B2282" s="1729">
        <v>2282</v>
      </c>
    </row>
    <row r="2283" spans="2:2" x14ac:dyDescent="0.2">
      <c r="B2283" s="1729">
        <v>2283</v>
      </c>
    </row>
    <row r="2284" spans="2:2" x14ac:dyDescent="0.2">
      <c r="B2284" s="1729">
        <v>2284</v>
      </c>
    </row>
    <row r="2285" spans="2:2" x14ac:dyDescent="0.2">
      <c r="B2285" s="1729">
        <v>2285</v>
      </c>
    </row>
    <row r="2286" spans="2:2" x14ac:dyDescent="0.2">
      <c r="B2286" s="1729">
        <v>2286</v>
      </c>
    </row>
    <row r="2287" spans="2:2" x14ac:dyDescent="0.2">
      <c r="B2287" s="1729">
        <v>2287</v>
      </c>
    </row>
    <row r="2288" spans="2:2" x14ac:dyDescent="0.2">
      <c r="B2288" s="1729">
        <v>2288</v>
      </c>
    </row>
    <row r="2289" spans="2:2" x14ac:dyDescent="0.2">
      <c r="B2289" s="1729">
        <v>2289</v>
      </c>
    </row>
    <row r="2290" spans="2:2" x14ac:dyDescent="0.2">
      <c r="B2290" s="1729">
        <v>2290</v>
      </c>
    </row>
    <row r="2291" spans="2:2" x14ac:dyDescent="0.2">
      <c r="B2291" s="1729">
        <v>2291</v>
      </c>
    </row>
    <row r="2292" spans="2:2" x14ac:dyDescent="0.2">
      <c r="B2292" s="1729">
        <v>2292</v>
      </c>
    </row>
    <row r="2293" spans="2:2" x14ac:dyDescent="0.2">
      <c r="B2293" s="1729">
        <v>2293</v>
      </c>
    </row>
    <row r="2294" spans="2:2" x14ac:dyDescent="0.2">
      <c r="B2294" s="1729">
        <v>2294</v>
      </c>
    </row>
    <row r="2295" spans="2:2" x14ac:dyDescent="0.2">
      <c r="B2295" s="1729">
        <v>2295</v>
      </c>
    </row>
    <row r="2296" spans="2:2" x14ac:dyDescent="0.2">
      <c r="B2296" s="1729">
        <v>2296</v>
      </c>
    </row>
    <row r="2297" spans="2:2" x14ac:dyDescent="0.2">
      <c r="B2297" s="1729">
        <v>2297</v>
      </c>
    </row>
    <row r="2298" spans="2:2" x14ac:dyDescent="0.2">
      <c r="B2298" s="1729">
        <v>2298</v>
      </c>
    </row>
    <row r="2299" spans="2:2" x14ac:dyDescent="0.2">
      <c r="B2299" s="1729">
        <v>2299</v>
      </c>
    </row>
    <row r="2300" spans="2:2" x14ac:dyDescent="0.2">
      <c r="B2300" s="1729">
        <v>2300</v>
      </c>
    </row>
    <row r="2301" spans="2:2" x14ac:dyDescent="0.2">
      <c r="B2301" s="1729">
        <v>2301</v>
      </c>
    </row>
    <row r="2302" spans="2:2" x14ac:dyDescent="0.2">
      <c r="B2302" s="1729">
        <v>2302</v>
      </c>
    </row>
    <row r="2303" spans="2:2" x14ac:dyDescent="0.2">
      <c r="B2303" s="1729">
        <v>2303</v>
      </c>
    </row>
    <row r="2304" spans="2:2" x14ac:dyDescent="0.2">
      <c r="B2304" s="1729">
        <v>2304</v>
      </c>
    </row>
    <row r="2305" spans="2:2" x14ac:dyDescent="0.2">
      <c r="B2305" s="1729">
        <v>2305</v>
      </c>
    </row>
    <row r="2306" spans="2:2" x14ac:dyDescent="0.2">
      <c r="B2306" s="1729">
        <v>2306</v>
      </c>
    </row>
    <row r="2307" spans="2:2" x14ac:dyDescent="0.2">
      <c r="B2307" s="1729">
        <v>2307</v>
      </c>
    </row>
    <row r="2308" spans="2:2" x14ac:dyDescent="0.2">
      <c r="B2308" s="1729">
        <v>2308</v>
      </c>
    </row>
    <row r="2309" spans="2:2" x14ac:dyDescent="0.2">
      <c r="B2309" s="1729">
        <v>2309</v>
      </c>
    </row>
    <row r="2310" spans="2:2" x14ac:dyDescent="0.2">
      <c r="B2310" s="1729">
        <v>2310</v>
      </c>
    </row>
    <row r="2311" spans="2:2" x14ac:dyDescent="0.2">
      <c r="B2311" s="1729">
        <v>2311</v>
      </c>
    </row>
    <row r="2312" spans="2:2" x14ac:dyDescent="0.2">
      <c r="B2312" s="1729">
        <v>2312</v>
      </c>
    </row>
    <row r="2313" spans="2:2" x14ac:dyDescent="0.2">
      <c r="B2313" s="1729">
        <v>2313</v>
      </c>
    </row>
    <row r="2314" spans="2:2" x14ac:dyDescent="0.2">
      <c r="B2314" s="1729">
        <v>2314</v>
      </c>
    </row>
    <row r="2315" spans="2:2" x14ac:dyDescent="0.2">
      <c r="B2315" s="1729">
        <v>2315</v>
      </c>
    </row>
    <row r="2316" spans="2:2" x14ac:dyDescent="0.2">
      <c r="B2316" s="1729">
        <v>2316</v>
      </c>
    </row>
    <row r="2317" spans="2:2" x14ac:dyDescent="0.2">
      <c r="B2317" s="1729">
        <v>2317</v>
      </c>
    </row>
    <row r="2318" spans="2:2" x14ac:dyDescent="0.2">
      <c r="B2318" s="1729">
        <v>2318</v>
      </c>
    </row>
    <row r="2319" spans="2:2" x14ac:dyDescent="0.2">
      <c r="B2319" s="1729">
        <v>2319</v>
      </c>
    </row>
    <row r="2320" spans="2:2" x14ac:dyDescent="0.2">
      <c r="B2320" s="1729">
        <v>2320</v>
      </c>
    </row>
    <row r="2321" spans="2:2" x14ac:dyDescent="0.2">
      <c r="B2321" s="1729">
        <v>2321</v>
      </c>
    </row>
    <row r="2322" spans="2:2" x14ac:dyDescent="0.2">
      <c r="B2322" s="1729">
        <v>2322</v>
      </c>
    </row>
    <row r="2323" spans="2:2" x14ac:dyDescent="0.2">
      <c r="B2323" s="1729">
        <v>2323</v>
      </c>
    </row>
    <row r="2324" spans="2:2" x14ac:dyDescent="0.2">
      <c r="B2324" s="1729">
        <v>2324</v>
      </c>
    </row>
    <row r="2325" spans="2:2" x14ac:dyDescent="0.2">
      <c r="B2325" s="1729">
        <v>2325</v>
      </c>
    </row>
    <row r="2326" spans="2:2" x14ac:dyDescent="0.2">
      <c r="B2326" s="1729">
        <v>2326</v>
      </c>
    </row>
    <row r="2327" spans="2:2" x14ac:dyDescent="0.2">
      <c r="B2327" s="1729">
        <v>2327</v>
      </c>
    </row>
    <row r="2328" spans="2:2" x14ac:dyDescent="0.2">
      <c r="B2328" s="1729">
        <v>2328</v>
      </c>
    </row>
    <row r="2329" spans="2:2" x14ac:dyDescent="0.2">
      <c r="B2329" s="1729">
        <v>2329</v>
      </c>
    </row>
    <row r="2330" spans="2:2" x14ac:dyDescent="0.2">
      <c r="B2330" s="1729">
        <v>2330</v>
      </c>
    </row>
    <row r="2331" spans="2:2" x14ac:dyDescent="0.2">
      <c r="B2331" s="1729">
        <v>2331</v>
      </c>
    </row>
    <row r="2332" spans="2:2" x14ac:dyDescent="0.2">
      <c r="B2332" s="1729">
        <v>2332</v>
      </c>
    </row>
    <row r="2333" spans="2:2" x14ac:dyDescent="0.2">
      <c r="B2333" s="1729">
        <v>2333</v>
      </c>
    </row>
    <row r="2334" spans="2:2" x14ac:dyDescent="0.2">
      <c r="B2334" s="1729">
        <v>2334</v>
      </c>
    </row>
    <row r="2335" spans="2:2" x14ac:dyDescent="0.2">
      <c r="B2335" s="1729">
        <v>2335</v>
      </c>
    </row>
    <row r="2336" spans="2:2" x14ac:dyDescent="0.2">
      <c r="B2336" s="1729">
        <v>2336</v>
      </c>
    </row>
    <row r="2337" spans="2:2" x14ac:dyDescent="0.2">
      <c r="B2337" s="1729">
        <v>2337</v>
      </c>
    </row>
    <row r="2338" spans="2:2" x14ac:dyDescent="0.2">
      <c r="B2338" s="1729">
        <v>2338</v>
      </c>
    </row>
    <row r="2339" spans="2:2" x14ac:dyDescent="0.2">
      <c r="B2339" s="1729">
        <v>2339</v>
      </c>
    </row>
    <row r="2340" spans="2:2" x14ac:dyDescent="0.2">
      <c r="B2340" s="1729">
        <v>2340</v>
      </c>
    </row>
    <row r="2341" spans="2:2" x14ac:dyDescent="0.2">
      <c r="B2341" s="1729">
        <v>2341</v>
      </c>
    </row>
    <row r="2342" spans="2:2" x14ac:dyDescent="0.2">
      <c r="B2342" s="1729">
        <v>2342</v>
      </c>
    </row>
    <row r="2343" spans="2:2" x14ac:dyDescent="0.2">
      <c r="B2343" s="1729">
        <v>2343</v>
      </c>
    </row>
    <row r="2344" spans="2:2" x14ac:dyDescent="0.2">
      <c r="B2344" s="1729">
        <v>2344</v>
      </c>
    </row>
    <row r="2345" spans="2:2" x14ac:dyDescent="0.2">
      <c r="B2345" s="1729">
        <v>2345</v>
      </c>
    </row>
    <row r="2346" spans="2:2" x14ac:dyDescent="0.2">
      <c r="B2346" s="1729">
        <v>2346</v>
      </c>
    </row>
    <row r="2347" spans="2:2" x14ac:dyDescent="0.2">
      <c r="B2347" s="1729">
        <v>2347</v>
      </c>
    </row>
    <row r="2348" spans="2:2" x14ac:dyDescent="0.2">
      <c r="B2348" s="1729">
        <v>2348</v>
      </c>
    </row>
    <row r="2349" spans="2:2" x14ac:dyDescent="0.2">
      <c r="B2349" s="1729">
        <v>2349</v>
      </c>
    </row>
    <row r="2350" spans="2:2" x14ac:dyDescent="0.2">
      <c r="B2350" s="1729">
        <v>2350</v>
      </c>
    </row>
    <row r="2351" spans="2:2" x14ac:dyDescent="0.2">
      <c r="B2351" s="1729">
        <v>2351</v>
      </c>
    </row>
    <row r="2352" spans="2:2" x14ac:dyDescent="0.2">
      <c r="B2352" s="1729">
        <v>2352</v>
      </c>
    </row>
    <row r="2353" spans="2:2" x14ac:dyDescent="0.2">
      <c r="B2353" s="1729">
        <v>2353</v>
      </c>
    </row>
    <row r="2354" spans="2:2" x14ac:dyDescent="0.2">
      <c r="B2354" s="1729">
        <v>2354</v>
      </c>
    </row>
    <row r="2355" spans="2:2" x14ac:dyDescent="0.2">
      <c r="B2355" s="1729">
        <v>2355</v>
      </c>
    </row>
    <row r="2356" spans="2:2" x14ac:dyDescent="0.2">
      <c r="B2356" s="1729">
        <v>2356</v>
      </c>
    </row>
    <row r="2357" spans="2:2" x14ac:dyDescent="0.2">
      <c r="B2357" s="1729">
        <v>2357</v>
      </c>
    </row>
    <row r="2358" spans="2:2" x14ac:dyDescent="0.2">
      <c r="B2358" s="1729">
        <v>2358</v>
      </c>
    </row>
    <row r="2359" spans="2:2" x14ac:dyDescent="0.2">
      <c r="B2359" s="1729">
        <v>2359</v>
      </c>
    </row>
    <row r="2360" spans="2:2" x14ac:dyDescent="0.2">
      <c r="B2360" s="1729">
        <v>2360</v>
      </c>
    </row>
    <row r="2361" spans="2:2" x14ac:dyDescent="0.2">
      <c r="B2361" s="1729">
        <v>2361</v>
      </c>
    </row>
    <row r="2362" spans="2:2" x14ac:dyDescent="0.2">
      <c r="B2362" s="1729">
        <v>2362</v>
      </c>
    </row>
    <row r="2363" spans="2:2" x14ac:dyDescent="0.2">
      <c r="B2363" s="1729">
        <v>2363</v>
      </c>
    </row>
    <row r="2364" spans="2:2" x14ac:dyDescent="0.2">
      <c r="B2364" s="1729">
        <v>2364</v>
      </c>
    </row>
    <row r="2365" spans="2:2" x14ac:dyDescent="0.2">
      <c r="B2365" s="1729">
        <v>2365</v>
      </c>
    </row>
    <row r="2366" spans="2:2" x14ac:dyDescent="0.2">
      <c r="B2366" s="1729">
        <v>2366</v>
      </c>
    </row>
    <row r="2367" spans="2:2" x14ac:dyDescent="0.2">
      <c r="B2367" s="1729">
        <v>2367</v>
      </c>
    </row>
    <row r="2368" spans="2:2" x14ac:dyDescent="0.2">
      <c r="B2368" s="1729">
        <v>2368</v>
      </c>
    </row>
    <row r="2369" spans="2:2" x14ac:dyDescent="0.2">
      <c r="B2369" s="1729">
        <v>2369</v>
      </c>
    </row>
    <row r="2370" spans="2:2" x14ac:dyDescent="0.2">
      <c r="B2370" s="1729">
        <v>2370</v>
      </c>
    </row>
    <row r="2371" spans="2:2" x14ac:dyDescent="0.2">
      <c r="B2371" s="1729">
        <v>2371</v>
      </c>
    </row>
    <row r="2372" spans="2:2" x14ac:dyDescent="0.2">
      <c r="B2372" s="1729">
        <v>2372</v>
      </c>
    </row>
    <row r="2373" spans="2:2" x14ac:dyDescent="0.2">
      <c r="B2373" s="1729">
        <v>2373</v>
      </c>
    </row>
    <row r="2374" spans="2:2" x14ac:dyDescent="0.2">
      <c r="B2374" s="1729">
        <v>2374</v>
      </c>
    </row>
    <row r="2375" spans="2:2" x14ac:dyDescent="0.2">
      <c r="B2375" s="1729">
        <v>2375</v>
      </c>
    </row>
    <row r="2376" spans="2:2" x14ac:dyDescent="0.2">
      <c r="B2376" s="1729">
        <v>2376</v>
      </c>
    </row>
    <row r="2377" spans="2:2" x14ac:dyDescent="0.2">
      <c r="B2377" s="1729">
        <v>2377</v>
      </c>
    </row>
    <row r="2378" spans="2:2" x14ac:dyDescent="0.2">
      <c r="B2378" s="1729">
        <v>2378</v>
      </c>
    </row>
    <row r="2379" spans="2:2" x14ac:dyDescent="0.2">
      <c r="B2379" s="1729">
        <v>2379</v>
      </c>
    </row>
    <row r="2380" spans="2:2" x14ac:dyDescent="0.2">
      <c r="B2380" s="1729">
        <v>2380</v>
      </c>
    </row>
    <row r="2381" spans="2:2" x14ac:dyDescent="0.2">
      <c r="B2381" s="1729">
        <v>2381</v>
      </c>
    </row>
    <row r="2382" spans="2:2" x14ac:dyDescent="0.2">
      <c r="B2382" s="1729">
        <v>2382</v>
      </c>
    </row>
    <row r="2383" spans="2:2" x14ac:dyDescent="0.2">
      <c r="B2383" s="1729">
        <v>2383</v>
      </c>
    </row>
    <row r="2384" spans="2:2" x14ac:dyDescent="0.2">
      <c r="B2384" s="1729">
        <v>2384</v>
      </c>
    </row>
    <row r="2385" spans="2:2" x14ac:dyDescent="0.2">
      <c r="B2385" s="1729">
        <v>2385</v>
      </c>
    </row>
    <row r="2386" spans="2:2" x14ac:dyDescent="0.2">
      <c r="B2386" s="1729">
        <v>2386</v>
      </c>
    </row>
    <row r="2387" spans="2:2" x14ac:dyDescent="0.2">
      <c r="B2387" s="1729">
        <v>2387</v>
      </c>
    </row>
    <row r="2388" spans="2:2" x14ac:dyDescent="0.2">
      <c r="B2388" s="1729">
        <v>2388</v>
      </c>
    </row>
    <row r="2389" spans="2:2" x14ac:dyDescent="0.2">
      <c r="B2389" s="1729">
        <v>2389</v>
      </c>
    </row>
    <row r="2390" spans="2:2" x14ac:dyDescent="0.2">
      <c r="B2390" s="1729">
        <v>2390</v>
      </c>
    </row>
    <row r="2391" spans="2:2" x14ac:dyDescent="0.2">
      <c r="B2391" s="1729">
        <v>2391</v>
      </c>
    </row>
    <row r="2392" spans="2:2" x14ac:dyDescent="0.2">
      <c r="B2392" s="1729">
        <v>2392</v>
      </c>
    </row>
    <row r="2393" spans="2:2" x14ac:dyDescent="0.2">
      <c r="B2393" s="1729">
        <v>2393</v>
      </c>
    </row>
    <row r="2394" spans="2:2" x14ac:dyDescent="0.2">
      <c r="B2394" s="1729">
        <v>2394</v>
      </c>
    </row>
    <row r="2395" spans="2:2" x14ac:dyDescent="0.2">
      <c r="B2395" s="1729">
        <v>2395</v>
      </c>
    </row>
    <row r="2396" spans="2:2" x14ac:dyDescent="0.2">
      <c r="B2396" s="1729">
        <v>2396</v>
      </c>
    </row>
    <row r="2397" spans="2:2" x14ac:dyDescent="0.2">
      <c r="B2397" s="1729">
        <v>2397</v>
      </c>
    </row>
    <row r="2398" spans="2:2" x14ac:dyDescent="0.2">
      <c r="B2398" s="1729">
        <v>2398</v>
      </c>
    </row>
    <row r="2399" spans="2:2" x14ac:dyDescent="0.2">
      <c r="B2399" s="1729">
        <v>2399</v>
      </c>
    </row>
    <row r="2400" spans="2:2" x14ac:dyDescent="0.2">
      <c r="B2400" s="1729">
        <v>2400</v>
      </c>
    </row>
    <row r="2401" spans="2:2" x14ac:dyDescent="0.2">
      <c r="B2401" s="1729">
        <v>2401</v>
      </c>
    </row>
    <row r="2402" spans="2:2" x14ac:dyDescent="0.2">
      <c r="B2402" s="1729">
        <v>2402</v>
      </c>
    </row>
    <row r="2403" spans="2:2" x14ac:dyDescent="0.2">
      <c r="B2403" s="1729">
        <v>2403</v>
      </c>
    </row>
    <row r="2404" spans="2:2" x14ac:dyDescent="0.2">
      <c r="B2404" s="1729">
        <v>2404</v>
      </c>
    </row>
    <row r="2405" spans="2:2" x14ac:dyDescent="0.2">
      <c r="B2405" s="1729">
        <v>2405</v>
      </c>
    </row>
    <row r="2406" spans="2:2" x14ac:dyDescent="0.2">
      <c r="B2406" s="1729">
        <v>2406</v>
      </c>
    </row>
    <row r="2407" spans="2:2" x14ac:dyDescent="0.2">
      <c r="B2407" s="1729">
        <v>2407</v>
      </c>
    </row>
    <row r="2408" spans="2:2" x14ac:dyDescent="0.2">
      <c r="B2408" s="1729">
        <v>2408</v>
      </c>
    </row>
    <row r="2409" spans="2:2" x14ac:dyDescent="0.2">
      <c r="B2409" s="1729">
        <v>2409</v>
      </c>
    </row>
    <row r="2410" spans="2:2" x14ac:dyDescent="0.2">
      <c r="B2410" s="1729">
        <v>2410</v>
      </c>
    </row>
    <row r="2411" spans="2:2" x14ac:dyDescent="0.2">
      <c r="B2411" s="1729">
        <v>2411</v>
      </c>
    </row>
    <row r="2412" spans="2:2" x14ac:dyDescent="0.2">
      <c r="B2412" s="1729">
        <v>2412</v>
      </c>
    </row>
    <row r="2413" spans="2:2" x14ac:dyDescent="0.2">
      <c r="B2413" s="1729">
        <v>2413</v>
      </c>
    </row>
    <row r="2414" spans="2:2" x14ac:dyDescent="0.2">
      <c r="B2414" s="1729">
        <v>2414</v>
      </c>
    </row>
    <row r="2415" spans="2:2" x14ac:dyDescent="0.2">
      <c r="B2415" s="1729">
        <v>2415</v>
      </c>
    </row>
    <row r="2416" spans="2:2" x14ac:dyDescent="0.2">
      <c r="B2416" s="1729">
        <v>2416</v>
      </c>
    </row>
    <row r="2417" spans="2:2" x14ac:dyDescent="0.2">
      <c r="B2417" s="1729">
        <v>2417</v>
      </c>
    </row>
    <row r="2418" spans="2:2" x14ac:dyDescent="0.2">
      <c r="B2418" s="1729">
        <v>2418</v>
      </c>
    </row>
    <row r="2419" spans="2:2" x14ac:dyDescent="0.2">
      <c r="B2419" s="1729">
        <v>2419</v>
      </c>
    </row>
    <row r="2420" spans="2:2" x14ac:dyDescent="0.2">
      <c r="B2420" s="1729">
        <v>2420</v>
      </c>
    </row>
    <row r="2421" spans="2:2" x14ac:dyDescent="0.2">
      <c r="B2421" s="1729">
        <v>2421</v>
      </c>
    </row>
    <row r="2422" spans="2:2" x14ac:dyDescent="0.2">
      <c r="B2422" s="1729">
        <v>2422</v>
      </c>
    </row>
    <row r="2423" spans="2:2" x14ac:dyDescent="0.2">
      <c r="B2423" s="1729">
        <v>2423</v>
      </c>
    </row>
    <row r="2424" spans="2:2" x14ac:dyDescent="0.2">
      <c r="B2424" s="1729">
        <v>2424</v>
      </c>
    </row>
    <row r="2425" spans="2:2" x14ac:dyDescent="0.2">
      <c r="B2425" s="1729">
        <v>2425</v>
      </c>
    </row>
    <row r="2426" spans="2:2" x14ac:dyDescent="0.2">
      <c r="B2426" s="1729">
        <v>2426</v>
      </c>
    </row>
    <row r="2427" spans="2:2" x14ac:dyDescent="0.2">
      <c r="B2427" s="1729">
        <v>2427</v>
      </c>
    </row>
    <row r="2428" spans="2:2" x14ac:dyDescent="0.2">
      <c r="B2428" s="1729">
        <v>2428</v>
      </c>
    </row>
    <row r="2429" spans="2:2" x14ac:dyDescent="0.2">
      <c r="B2429" s="1729">
        <v>2429</v>
      </c>
    </row>
    <row r="2430" spans="2:2" x14ac:dyDescent="0.2">
      <c r="B2430" s="1729">
        <v>2430</v>
      </c>
    </row>
    <row r="2431" spans="2:2" x14ac:dyDescent="0.2">
      <c r="B2431" s="1729">
        <v>2431</v>
      </c>
    </row>
    <row r="2432" spans="2:2" x14ac:dyDescent="0.2">
      <c r="B2432" s="1729">
        <v>2432</v>
      </c>
    </row>
    <row r="2433" spans="2:2" x14ac:dyDescent="0.2">
      <c r="B2433" s="1729">
        <v>2433</v>
      </c>
    </row>
    <row r="2434" spans="2:2" x14ac:dyDescent="0.2">
      <c r="B2434" s="1729">
        <v>2434</v>
      </c>
    </row>
    <row r="2435" spans="2:2" x14ac:dyDescent="0.2">
      <c r="B2435" s="1729">
        <v>2435</v>
      </c>
    </row>
    <row r="2436" spans="2:2" x14ac:dyDescent="0.2">
      <c r="B2436" s="1729">
        <v>2436</v>
      </c>
    </row>
    <row r="2437" spans="2:2" x14ac:dyDescent="0.2">
      <c r="B2437" s="1729">
        <v>2437</v>
      </c>
    </row>
    <row r="2438" spans="2:2" x14ac:dyDescent="0.2">
      <c r="B2438" s="1729">
        <v>2438</v>
      </c>
    </row>
    <row r="2439" spans="2:2" x14ac:dyDescent="0.2">
      <c r="B2439" s="1729">
        <v>2439</v>
      </c>
    </row>
    <row r="2440" spans="2:2" x14ac:dyDescent="0.2">
      <c r="B2440" s="1729">
        <v>2440</v>
      </c>
    </row>
    <row r="2441" spans="2:2" x14ac:dyDescent="0.2">
      <c r="B2441" s="1729">
        <v>2441</v>
      </c>
    </row>
    <row r="2442" spans="2:2" x14ac:dyDescent="0.2">
      <c r="B2442" s="1729">
        <v>2442</v>
      </c>
    </row>
    <row r="2443" spans="2:2" x14ac:dyDescent="0.2">
      <c r="B2443" s="1729">
        <v>2443</v>
      </c>
    </row>
    <row r="2444" spans="2:2" x14ac:dyDescent="0.2">
      <c r="B2444" s="1729">
        <v>2444</v>
      </c>
    </row>
    <row r="2445" spans="2:2" x14ac:dyDescent="0.2">
      <c r="B2445" s="1729">
        <v>2445</v>
      </c>
    </row>
    <row r="2446" spans="2:2" x14ac:dyDescent="0.2">
      <c r="B2446" s="1729">
        <v>2446</v>
      </c>
    </row>
    <row r="2447" spans="2:2" x14ac:dyDescent="0.2">
      <c r="B2447" s="1729">
        <v>2447</v>
      </c>
    </row>
    <row r="2448" spans="2:2" x14ac:dyDescent="0.2">
      <c r="B2448" s="1729">
        <v>2448</v>
      </c>
    </row>
    <row r="2449" spans="2:2" x14ac:dyDescent="0.2">
      <c r="B2449" s="1729">
        <v>2449</v>
      </c>
    </row>
    <row r="2450" spans="2:2" x14ac:dyDescent="0.2">
      <c r="B2450" s="1729">
        <v>2450</v>
      </c>
    </row>
    <row r="2451" spans="2:2" x14ac:dyDescent="0.2">
      <c r="B2451" s="1729">
        <v>2451</v>
      </c>
    </row>
    <row r="2452" spans="2:2" x14ac:dyDescent="0.2">
      <c r="B2452" s="1729">
        <v>2452</v>
      </c>
    </row>
    <row r="2453" spans="2:2" x14ac:dyDescent="0.2">
      <c r="B2453" s="1729">
        <v>2453</v>
      </c>
    </row>
    <row r="2454" spans="2:2" x14ac:dyDescent="0.2">
      <c r="B2454" s="1729">
        <v>2454</v>
      </c>
    </row>
    <row r="2455" spans="2:2" x14ac:dyDescent="0.2">
      <c r="B2455" s="1729">
        <v>2455</v>
      </c>
    </row>
    <row r="2456" spans="2:2" x14ac:dyDescent="0.2">
      <c r="B2456" s="1729">
        <v>2456</v>
      </c>
    </row>
    <row r="2457" spans="2:2" x14ac:dyDescent="0.2">
      <c r="B2457" s="1729">
        <v>2457</v>
      </c>
    </row>
    <row r="2458" spans="2:2" x14ac:dyDescent="0.2">
      <c r="B2458" s="1729">
        <v>2458</v>
      </c>
    </row>
    <row r="2459" spans="2:2" x14ac:dyDescent="0.2">
      <c r="B2459" s="1729">
        <v>2459</v>
      </c>
    </row>
    <row r="2460" spans="2:2" x14ac:dyDescent="0.2">
      <c r="B2460" s="1729">
        <v>2460</v>
      </c>
    </row>
    <row r="2461" spans="2:2" x14ac:dyDescent="0.2">
      <c r="B2461" s="1729">
        <v>2461</v>
      </c>
    </row>
    <row r="2462" spans="2:2" x14ac:dyDescent="0.2">
      <c r="B2462" s="1729">
        <v>2462</v>
      </c>
    </row>
    <row r="2463" spans="2:2" x14ac:dyDescent="0.2">
      <c r="B2463" s="1729">
        <v>2463</v>
      </c>
    </row>
    <row r="2464" spans="2:2" x14ac:dyDescent="0.2">
      <c r="B2464" s="1729">
        <v>2464</v>
      </c>
    </row>
    <row r="2465" spans="2:2" x14ac:dyDescent="0.2">
      <c r="B2465" s="1729">
        <v>2465</v>
      </c>
    </row>
    <row r="2466" spans="2:2" x14ac:dyDescent="0.2">
      <c r="B2466" s="1729">
        <v>2466</v>
      </c>
    </row>
    <row r="2467" spans="2:2" x14ac:dyDescent="0.2">
      <c r="B2467" s="1729">
        <v>2467</v>
      </c>
    </row>
    <row r="2468" spans="2:2" x14ac:dyDescent="0.2">
      <c r="B2468" s="1729">
        <v>2468</v>
      </c>
    </row>
    <row r="2469" spans="2:2" x14ac:dyDescent="0.2">
      <c r="B2469" s="1729">
        <v>2469</v>
      </c>
    </row>
    <row r="2470" spans="2:2" x14ac:dyDescent="0.2">
      <c r="B2470" s="1729">
        <v>2470</v>
      </c>
    </row>
    <row r="2471" spans="2:2" x14ac:dyDescent="0.2">
      <c r="B2471" s="1729">
        <v>2471</v>
      </c>
    </row>
    <row r="2472" spans="2:2" x14ac:dyDescent="0.2">
      <c r="B2472" s="1729">
        <v>2472</v>
      </c>
    </row>
    <row r="2473" spans="2:2" x14ac:dyDescent="0.2">
      <c r="B2473" s="1729">
        <v>2473</v>
      </c>
    </row>
    <row r="2474" spans="2:2" x14ac:dyDescent="0.2">
      <c r="B2474" s="1729">
        <v>2474</v>
      </c>
    </row>
    <row r="2475" spans="2:2" x14ac:dyDescent="0.2">
      <c r="B2475" s="1729">
        <v>2475</v>
      </c>
    </row>
    <row r="2476" spans="2:2" x14ac:dyDescent="0.2">
      <c r="B2476" s="1729">
        <v>2476</v>
      </c>
    </row>
    <row r="2477" spans="2:2" x14ac:dyDescent="0.2">
      <c r="B2477" s="1729">
        <v>2477</v>
      </c>
    </row>
    <row r="2478" spans="2:2" x14ac:dyDescent="0.2">
      <c r="B2478" s="1729">
        <v>2478</v>
      </c>
    </row>
    <row r="2479" spans="2:2" x14ac:dyDescent="0.2">
      <c r="B2479" s="1729">
        <v>2479</v>
      </c>
    </row>
    <row r="2480" spans="2:2" x14ac:dyDescent="0.2">
      <c r="B2480" s="1729">
        <v>2480</v>
      </c>
    </row>
    <row r="2481" spans="2:2" x14ac:dyDescent="0.2">
      <c r="B2481" s="1729">
        <v>2481</v>
      </c>
    </row>
    <row r="2482" spans="2:2" x14ac:dyDescent="0.2">
      <c r="B2482" s="1729">
        <v>2482</v>
      </c>
    </row>
    <row r="2483" spans="2:2" x14ac:dyDescent="0.2">
      <c r="B2483" s="1729">
        <v>2483</v>
      </c>
    </row>
    <row r="2484" spans="2:2" x14ac:dyDescent="0.2">
      <c r="B2484" s="1729">
        <v>2484</v>
      </c>
    </row>
    <row r="2485" spans="2:2" x14ac:dyDescent="0.2">
      <c r="B2485" s="1729">
        <v>2485</v>
      </c>
    </row>
    <row r="2486" spans="2:2" x14ac:dyDescent="0.2">
      <c r="B2486" s="1729">
        <v>2486</v>
      </c>
    </row>
    <row r="2487" spans="2:2" x14ac:dyDescent="0.2">
      <c r="B2487" s="1729">
        <v>2487</v>
      </c>
    </row>
    <row r="2488" spans="2:2" x14ac:dyDescent="0.2">
      <c r="B2488" s="1729">
        <v>2488</v>
      </c>
    </row>
    <row r="2489" spans="2:2" x14ac:dyDescent="0.2">
      <c r="B2489" s="1729">
        <v>2489</v>
      </c>
    </row>
    <row r="2490" spans="2:2" x14ac:dyDescent="0.2">
      <c r="B2490" s="1729">
        <v>2490</v>
      </c>
    </row>
    <row r="2491" spans="2:2" x14ac:dyDescent="0.2">
      <c r="B2491" s="1729">
        <v>2491</v>
      </c>
    </row>
    <row r="2492" spans="2:2" x14ac:dyDescent="0.2">
      <c r="B2492" s="1729">
        <v>2492</v>
      </c>
    </row>
    <row r="2493" spans="2:2" x14ac:dyDescent="0.2">
      <c r="B2493" s="1729">
        <v>2493</v>
      </c>
    </row>
    <row r="2494" spans="2:2" x14ac:dyDescent="0.2">
      <c r="B2494" s="1729">
        <v>2494</v>
      </c>
    </row>
    <row r="2495" spans="2:2" x14ac:dyDescent="0.2">
      <c r="B2495" s="1729">
        <v>2495</v>
      </c>
    </row>
    <row r="2496" spans="2:2" x14ac:dyDescent="0.2">
      <c r="B2496" s="1729">
        <v>2496</v>
      </c>
    </row>
    <row r="2497" spans="2:2" x14ac:dyDescent="0.2">
      <c r="B2497" s="1729">
        <v>2497</v>
      </c>
    </row>
    <row r="2498" spans="2:2" x14ac:dyDescent="0.2">
      <c r="B2498" s="1729">
        <v>2498</v>
      </c>
    </row>
    <row r="2499" spans="2:2" x14ac:dyDescent="0.2">
      <c r="B2499" s="1729">
        <v>2499</v>
      </c>
    </row>
    <row r="2500" spans="2:2" x14ac:dyDescent="0.2">
      <c r="B2500" s="1729">
        <v>2500</v>
      </c>
    </row>
    <row r="2501" spans="2:2" x14ac:dyDescent="0.2">
      <c r="B2501" s="1729">
        <v>2501</v>
      </c>
    </row>
    <row r="2502" spans="2:2" x14ac:dyDescent="0.2">
      <c r="B2502" s="1729">
        <v>2502</v>
      </c>
    </row>
    <row r="2503" spans="2:2" x14ac:dyDescent="0.2">
      <c r="B2503" s="1729">
        <v>2503</v>
      </c>
    </row>
    <row r="2504" spans="2:2" x14ac:dyDescent="0.2">
      <c r="B2504" s="1729">
        <v>2504</v>
      </c>
    </row>
    <row r="2505" spans="2:2" x14ac:dyDescent="0.2">
      <c r="B2505" s="1729">
        <v>2505</v>
      </c>
    </row>
    <row r="2506" spans="2:2" x14ac:dyDescent="0.2">
      <c r="B2506" s="1729">
        <v>2506</v>
      </c>
    </row>
    <row r="2507" spans="2:2" x14ac:dyDescent="0.2">
      <c r="B2507" s="1729">
        <v>2507</v>
      </c>
    </row>
    <row r="2508" spans="2:2" x14ac:dyDescent="0.2">
      <c r="B2508" s="1729">
        <v>2508</v>
      </c>
    </row>
    <row r="2509" spans="2:2" x14ac:dyDescent="0.2">
      <c r="B2509" s="1729">
        <v>2509</v>
      </c>
    </row>
    <row r="2510" spans="2:2" x14ac:dyDescent="0.2">
      <c r="B2510" s="1729">
        <v>2510</v>
      </c>
    </row>
    <row r="2511" spans="2:2" x14ac:dyDescent="0.2">
      <c r="B2511" s="1729">
        <v>2511</v>
      </c>
    </row>
    <row r="2512" spans="2:2" x14ac:dyDescent="0.2">
      <c r="B2512" s="1729">
        <v>2512</v>
      </c>
    </row>
    <row r="2513" spans="2:2" x14ac:dyDescent="0.2">
      <c r="B2513" s="1729">
        <v>2513</v>
      </c>
    </row>
    <row r="2514" spans="2:2" x14ac:dyDescent="0.2">
      <c r="B2514" s="1729">
        <v>2514</v>
      </c>
    </row>
    <row r="2515" spans="2:2" x14ac:dyDescent="0.2">
      <c r="B2515" s="1729">
        <v>2515</v>
      </c>
    </row>
    <row r="2516" spans="2:2" x14ac:dyDescent="0.2">
      <c r="B2516" s="1729">
        <v>2516</v>
      </c>
    </row>
    <row r="2517" spans="2:2" x14ac:dyDescent="0.2">
      <c r="B2517" s="1729">
        <v>2517</v>
      </c>
    </row>
    <row r="2518" spans="2:2" x14ac:dyDescent="0.2">
      <c r="B2518" s="1729">
        <v>2518</v>
      </c>
    </row>
    <row r="2519" spans="2:2" x14ac:dyDescent="0.2">
      <c r="B2519" s="1729">
        <v>2519</v>
      </c>
    </row>
    <row r="2520" spans="2:2" x14ac:dyDescent="0.2">
      <c r="B2520" s="1729">
        <v>2520</v>
      </c>
    </row>
    <row r="2521" spans="2:2" x14ac:dyDescent="0.2">
      <c r="B2521" s="1729">
        <v>2521</v>
      </c>
    </row>
    <row r="2522" spans="2:2" x14ac:dyDescent="0.2">
      <c r="B2522" s="1729">
        <v>2522</v>
      </c>
    </row>
    <row r="2523" spans="2:2" x14ac:dyDescent="0.2">
      <c r="B2523" s="1729">
        <v>2523</v>
      </c>
    </row>
    <row r="2524" spans="2:2" x14ac:dyDescent="0.2">
      <c r="B2524" s="1729">
        <v>2524</v>
      </c>
    </row>
    <row r="2525" spans="2:2" x14ac:dyDescent="0.2">
      <c r="B2525" s="1729">
        <v>2525</v>
      </c>
    </row>
    <row r="2526" spans="2:2" x14ac:dyDescent="0.2">
      <c r="B2526" s="1729">
        <v>2526</v>
      </c>
    </row>
    <row r="2527" spans="2:2" x14ac:dyDescent="0.2">
      <c r="B2527" s="1729">
        <v>2527</v>
      </c>
    </row>
    <row r="2528" spans="2:2" x14ac:dyDescent="0.2">
      <c r="B2528" s="1729">
        <v>2528</v>
      </c>
    </row>
    <row r="2529" spans="2:2" x14ac:dyDescent="0.2">
      <c r="B2529" s="1729">
        <v>2529</v>
      </c>
    </row>
    <row r="2530" spans="2:2" x14ac:dyDescent="0.2">
      <c r="B2530" s="1729">
        <v>2530</v>
      </c>
    </row>
    <row r="2531" spans="2:2" x14ac:dyDescent="0.2">
      <c r="B2531" s="1729">
        <v>2531</v>
      </c>
    </row>
    <row r="2532" spans="2:2" x14ac:dyDescent="0.2">
      <c r="B2532" s="1729">
        <v>2532</v>
      </c>
    </row>
    <row r="2533" spans="2:2" x14ac:dyDescent="0.2">
      <c r="B2533" s="1729">
        <v>2533</v>
      </c>
    </row>
    <row r="2534" spans="2:2" x14ac:dyDescent="0.2">
      <c r="B2534" s="1729">
        <v>2534</v>
      </c>
    </row>
    <row r="2535" spans="2:2" x14ac:dyDescent="0.2">
      <c r="B2535" s="1729">
        <v>2535</v>
      </c>
    </row>
    <row r="2536" spans="2:2" x14ac:dyDescent="0.2">
      <c r="B2536" s="1729">
        <v>2536</v>
      </c>
    </row>
    <row r="2537" spans="2:2" x14ac:dyDescent="0.2">
      <c r="B2537" s="1729">
        <v>2537</v>
      </c>
    </row>
    <row r="2538" spans="2:2" x14ac:dyDescent="0.2">
      <c r="B2538" s="1729">
        <v>2538</v>
      </c>
    </row>
    <row r="2539" spans="2:2" x14ac:dyDescent="0.2">
      <c r="B2539" s="1729">
        <v>2539</v>
      </c>
    </row>
    <row r="2540" spans="2:2" x14ac:dyDescent="0.2">
      <c r="B2540" s="1729">
        <v>2540</v>
      </c>
    </row>
    <row r="2541" spans="2:2" x14ac:dyDescent="0.2">
      <c r="B2541" s="1729">
        <v>2541</v>
      </c>
    </row>
    <row r="2542" spans="2:2" x14ac:dyDescent="0.2">
      <c r="B2542" s="1729">
        <v>2542</v>
      </c>
    </row>
    <row r="2543" spans="2:2" x14ac:dyDescent="0.2">
      <c r="B2543" s="1729">
        <v>2543</v>
      </c>
    </row>
    <row r="2544" spans="2:2" x14ac:dyDescent="0.2">
      <c r="B2544" s="1729">
        <v>2544</v>
      </c>
    </row>
    <row r="2545" spans="2:2" x14ac:dyDescent="0.2">
      <c r="B2545" s="1729">
        <v>2545</v>
      </c>
    </row>
    <row r="2546" spans="2:2" x14ac:dyDescent="0.2">
      <c r="B2546" s="1729">
        <v>2546</v>
      </c>
    </row>
    <row r="2547" spans="2:2" x14ac:dyDescent="0.2">
      <c r="B2547" s="1729">
        <v>2547</v>
      </c>
    </row>
    <row r="2548" spans="2:2" x14ac:dyDescent="0.2">
      <c r="B2548" s="1729">
        <v>2548</v>
      </c>
    </row>
    <row r="2549" spans="2:2" x14ac:dyDescent="0.2">
      <c r="B2549" s="1729">
        <v>2549</v>
      </c>
    </row>
    <row r="2550" spans="2:2" x14ac:dyDescent="0.2">
      <c r="B2550" s="1729">
        <v>2550</v>
      </c>
    </row>
    <row r="2551" spans="2:2" x14ac:dyDescent="0.2">
      <c r="B2551" s="1729">
        <v>2551</v>
      </c>
    </row>
    <row r="2552" spans="2:2" x14ac:dyDescent="0.2">
      <c r="B2552" s="1729">
        <v>2552</v>
      </c>
    </row>
    <row r="2553" spans="2:2" x14ac:dyDescent="0.2">
      <c r="B2553" s="1729">
        <v>2553</v>
      </c>
    </row>
    <row r="2554" spans="2:2" x14ac:dyDescent="0.2">
      <c r="B2554" s="1729">
        <v>2554</v>
      </c>
    </row>
    <row r="2555" spans="2:2" x14ac:dyDescent="0.2">
      <c r="B2555" s="1729">
        <v>2555</v>
      </c>
    </row>
    <row r="2556" spans="2:2" x14ac:dyDescent="0.2">
      <c r="B2556" s="1729">
        <v>2556</v>
      </c>
    </row>
    <row r="2557" spans="2:2" x14ac:dyDescent="0.2">
      <c r="B2557" s="1729">
        <v>2557</v>
      </c>
    </row>
    <row r="2558" spans="2:2" x14ac:dyDescent="0.2">
      <c r="B2558" s="1729">
        <v>2558</v>
      </c>
    </row>
    <row r="2559" spans="2:2" x14ac:dyDescent="0.2">
      <c r="B2559" s="1729">
        <v>2559</v>
      </c>
    </row>
    <row r="2560" spans="2:2" x14ac:dyDescent="0.2">
      <c r="B2560" s="1729">
        <v>2560</v>
      </c>
    </row>
    <row r="2561" spans="2:2" x14ac:dyDescent="0.2">
      <c r="B2561" s="1729">
        <v>2561</v>
      </c>
    </row>
    <row r="2562" spans="2:2" x14ac:dyDescent="0.2">
      <c r="B2562" s="1729">
        <v>2562</v>
      </c>
    </row>
    <row r="2563" spans="2:2" x14ac:dyDescent="0.2">
      <c r="B2563" s="1729">
        <v>2563</v>
      </c>
    </row>
    <row r="2564" spans="2:2" x14ac:dyDescent="0.2">
      <c r="B2564" s="1729">
        <v>2564</v>
      </c>
    </row>
    <row r="2565" spans="2:2" x14ac:dyDescent="0.2">
      <c r="B2565" s="1729">
        <v>2565</v>
      </c>
    </row>
    <row r="2566" spans="2:2" x14ac:dyDescent="0.2">
      <c r="B2566" s="1729">
        <v>2566</v>
      </c>
    </row>
    <row r="2567" spans="2:2" x14ac:dyDescent="0.2">
      <c r="B2567" s="1729">
        <v>2567</v>
      </c>
    </row>
    <row r="2568" spans="2:2" x14ac:dyDescent="0.2">
      <c r="B2568" s="1729">
        <v>2568</v>
      </c>
    </row>
    <row r="2569" spans="2:2" x14ac:dyDescent="0.2">
      <c r="B2569" s="1729">
        <v>2569</v>
      </c>
    </row>
  </sheetData>
  <sheetProtection algorithmName="SHA-512" hashValue="66h9gPtjZz4ACk4xTlIlVycstncYP7v1l5tHbbH3zL0p8O3IsXuIzppDSgfsr/2IgWiRGYMdcoIUG0W/n/6Y0g==" saltValue="lTppXwz+6smThY3kWOEnsA==" spinCount="100000" sheet="1" formatCells="0" formatColumns="0" formatRows="0" insertColumns="0" insertRows="0" insertHyperlinks="0" deleteColumns="0" deleteRows="0" sort="0" autoFilter="0" pivotTables="0"/>
  <mergeCells count="1">
    <mergeCell ref="E113:R113"/>
  </mergeCells>
  <pageMargins left="0.7" right="0.7" top="0.78740157499999996" bottom="0.78740157499999996" header="0.3" footer="0.3"/>
  <pageSetup paperSize="9" scale="66" orientation="portrait" r:id="rId1"/>
  <rowBreaks count="1" manualBreakCount="1">
    <brk id="25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E31"/>
  <sheetViews>
    <sheetView workbookViewId="0"/>
  </sheetViews>
  <sheetFormatPr defaultRowHeight="12.75" x14ac:dyDescent="0.2"/>
  <cols>
    <col min="1" max="1" width="45.140625" style="1892" bestFit="1" customWidth="1"/>
    <col min="2" max="16384" width="9.140625" style="1892"/>
  </cols>
  <sheetData>
    <row r="1" spans="1:5" ht="13.5" thickBot="1" x14ac:dyDescent="0.25">
      <c r="A1" s="1891" t="s">
        <v>1353</v>
      </c>
      <c r="B1" s="1890"/>
      <c r="C1" s="1890"/>
      <c r="D1" s="1890"/>
      <c r="E1" s="1890"/>
    </row>
    <row r="3" spans="1:5" ht="13.5" x14ac:dyDescent="0.2">
      <c r="A3" s="1893" t="s">
        <v>1356</v>
      </c>
    </row>
    <row r="4" spans="1:5" x14ac:dyDescent="0.2">
      <c r="A4" s="1894" t="s">
        <v>1354</v>
      </c>
    </row>
    <row r="5" spans="1:5" x14ac:dyDescent="0.2">
      <c r="A5" s="1894" t="s">
        <v>1355</v>
      </c>
    </row>
    <row r="6" spans="1:5" x14ac:dyDescent="0.2">
      <c r="A6" s="1894" t="s">
        <v>1357</v>
      </c>
    </row>
    <row r="8" spans="1:5" ht="13.5" x14ac:dyDescent="0.2">
      <c r="A8" s="1893" t="s">
        <v>1358</v>
      </c>
    </row>
    <row r="9" spans="1:5" x14ac:dyDescent="0.2">
      <c r="A9" s="1894" t="s">
        <v>1359</v>
      </c>
    </row>
    <row r="10" spans="1:5" x14ac:dyDescent="0.2">
      <c r="A10" s="1907" t="s">
        <v>1360</v>
      </c>
    </row>
    <row r="11" spans="1:5" x14ac:dyDescent="0.2">
      <c r="A11" s="1907" t="s">
        <v>1361</v>
      </c>
    </row>
    <row r="13" spans="1:5" ht="13.5" x14ac:dyDescent="0.2">
      <c r="A13" s="1893" t="s">
        <v>1362</v>
      </c>
    </row>
    <row r="14" spans="1:5" x14ac:dyDescent="0.2">
      <c r="A14" s="1894" t="s">
        <v>1363</v>
      </c>
    </row>
    <row r="15" spans="1:5" x14ac:dyDescent="0.2">
      <c r="A15" s="1894" t="s">
        <v>1364</v>
      </c>
    </row>
    <row r="16" spans="1:5" x14ac:dyDescent="0.2">
      <c r="A16" s="1894" t="s">
        <v>1365</v>
      </c>
    </row>
    <row r="17" spans="1:1" x14ac:dyDescent="0.2">
      <c r="A17" s="1894" t="s">
        <v>1366</v>
      </c>
    </row>
    <row r="18" spans="1:1" x14ac:dyDescent="0.2">
      <c r="A18" s="1894" t="s">
        <v>1367</v>
      </c>
    </row>
    <row r="20" spans="1:1" ht="13.5" x14ac:dyDescent="0.2">
      <c r="A20" s="1893" t="s">
        <v>1371</v>
      </c>
    </row>
    <row r="21" spans="1:1" x14ac:dyDescent="0.2">
      <c r="A21" s="1894" t="s">
        <v>1372</v>
      </c>
    </row>
    <row r="22" spans="1:1" x14ac:dyDescent="0.2">
      <c r="A22" s="1894" t="s">
        <v>1373</v>
      </c>
    </row>
    <row r="23" spans="1:1" x14ac:dyDescent="0.2">
      <c r="A23" s="1894" t="s">
        <v>1378</v>
      </c>
    </row>
    <row r="24" spans="1:1" x14ac:dyDescent="0.2">
      <c r="A24" s="1894" t="s">
        <v>1381</v>
      </c>
    </row>
    <row r="25" spans="1:1" x14ac:dyDescent="0.2">
      <c r="A25" s="1894" t="s">
        <v>1382</v>
      </c>
    </row>
    <row r="26" spans="1:1" x14ac:dyDescent="0.2">
      <c r="A26" s="1894" t="s">
        <v>1391</v>
      </c>
    </row>
    <row r="27" spans="1:1" x14ac:dyDescent="0.2">
      <c r="A27" s="1894" t="s">
        <v>1392</v>
      </c>
    </row>
    <row r="28" spans="1:1" x14ac:dyDescent="0.2">
      <c r="A28" s="1894" t="s">
        <v>1395</v>
      </c>
    </row>
    <row r="29" spans="1:1" x14ac:dyDescent="0.2">
      <c r="A29" s="1894" t="s">
        <v>1398</v>
      </c>
    </row>
    <row r="30" spans="1:1" x14ac:dyDescent="0.2">
      <c r="A30" s="1894" t="s">
        <v>1396</v>
      </c>
    </row>
    <row r="31" spans="1:1" x14ac:dyDescent="0.2">
      <c r="A31" s="1894" t="s">
        <v>1397</v>
      </c>
    </row>
  </sheetData>
  <sheetProtection algorithmName="SHA-512" hashValue="TjSH6aAKszKF4E77whNaACai57gpEBSlvTdQ44ftxI+JQXdE7afcCzCUzBK6AJZyW1p9MfgUXcW3GZl21XjBug==" saltValue="jZWOiFeJp0t+FEsOr3Qtsw==" spinCount="100000" sheet="1" formatCells="0" formatColumns="0" formatRows="0" insertColumns="0" insertRows="0" insertHyperlinks="0" deleteColumns="0" deleteRows="0" sort="0" autoFilter="0" pivotTables="0"/>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6">
    <pageSetUpPr fitToPage="1"/>
  </sheetPr>
  <dimension ref="B1:Q79"/>
  <sheetViews>
    <sheetView defaultGridColor="0" colorId="23" zoomScale="80" zoomScaleNormal="80" workbookViewId="0"/>
  </sheetViews>
  <sheetFormatPr defaultColWidth="9.140625" defaultRowHeight="13.5" x14ac:dyDescent="0.3"/>
  <cols>
    <col min="1" max="1" width="2.7109375" style="23" customWidth="1"/>
    <col min="2" max="2" width="8.7109375" style="23" customWidth="1"/>
    <col min="3" max="3" width="48.28515625" style="23" bestFit="1" customWidth="1"/>
    <col min="4" max="4" width="15.7109375" style="154" customWidth="1"/>
    <col min="5" max="6" width="14.7109375" style="155" customWidth="1"/>
    <col min="7" max="7" width="8.7109375" style="23" customWidth="1"/>
    <col min="8" max="8" width="49.7109375" style="23" customWidth="1"/>
    <col min="9" max="9" width="17.42578125" style="23" customWidth="1"/>
    <col min="10" max="10" width="15.7109375" style="23" customWidth="1"/>
    <col min="11" max="29" width="10.7109375" style="23" customWidth="1"/>
    <col min="30" max="16384" width="9.140625" style="23"/>
  </cols>
  <sheetData>
    <row r="1" spans="2:9" ht="17.25" thickBot="1" x14ac:dyDescent="0.35">
      <c r="C1" s="150"/>
      <c r="D1" s="151"/>
      <c r="E1" s="152"/>
      <c r="F1" s="152"/>
      <c r="G1" s="153"/>
    </row>
    <row r="2" spans="2:9" ht="33" customHeight="1" thickBot="1" x14ac:dyDescent="0.35">
      <c r="B2" s="168" t="s">
        <v>33</v>
      </c>
      <c r="C2" s="169" t="str">
        <f>IF('0 Úvod'!$M$10="English",Slovnik!$D$70,Slovnik!$C$70)</f>
        <v>Životnost investice (roky)</v>
      </c>
      <c r="D2" s="170" t="str">
        <f>IF('0 Úvod'!$M$10="English",Slovnik!$D$105,Slovnik!$C$105)</f>
        <v>Náklady (CZK)</v>
      </c>
      <c r="E2" s="170" t="str">
        <f>IF('0 Úvod'!$M$10="English",Slovnik!$D$106,Slovnik!$C$106)</f>
        <v>Vážení</v>
      </c>
      <c r="F2" s="165"/>
      <c r="G2" s="173" t="s">
        <v>34</v>
      </c>
      <c r="H2" s="175" t="str">
        <f>IF('0 Úvod'!$M$10="English",Slovnik!$D$108,Slovnik!$C$108)</f>
        <v>Životnost jednotlivých prvků dle dopravních módů</v>
      </c>
      <c r="I2" s="174" t="str">
        <f>IF('0 Úvod'!$M$10="English",Slovnik!$D$109,Slovnik!$C$109)</f>
        <v>ekonomická životnost v letech</v>
      </c>
    </row>
    <row r="3" spans="2:9" ht="14.25" customHeight="1" x14ac:dyDescent="0.3">
      <c r="B3" s="2279" t="str">
        <f>IF('0 Úvod'!$M$10="English",Slovnik!$D$67,Slovnik!$C$67)</f>
        <v>ŽELEZNIČNÍ A OSTATNÍ INFRASTRUKTURA*</v>
      </c>
      <c r="C3" s="1923" t="str">
        <f>IF('0 Úvod'!$M$10="English",Slovnik!D71,Slovnik!C71)</f>
        <v>Zabezpečovací zařízení</v>
      </c>
      <c r="D3" s="234">
        <v>138593498.04165629</v>
      </c>
      <c r="E3" s="1919">
        <f t="shared" ref="E3:E37" si="0">D3*I3</f>
        <v>2771869960.8331256</v>
      </c>
      <c r="F3" s="161"/>
      <c r="G3" s="2271" t="str">
        <f>IF('0 Úvod'!$M$10="English",Slovnik!$D$67,Slovnik!$C$67)</f>
        <v>ŽELEZNIČNÍ A OSTATNÍ INFRASTRUKTURA*</v>
      </c>
      <c r="H3" s="178" t="str">
        <f>IF('0 Úvod'!$M$10="English",Slovnik!D71,Slovnik!C71)</f>
        <v>Zabezpečovací zařízení</v>
      </c>
      <c r="I3" s="176">
        <v>20</v>
      </c>
    </row>
    <row r="4" spans="2:9" ht="14.25" x14ac:dyDescent="0.3">
      <c r="B4" s="2280"/>
      <c r="C4" s="1924" t="str">
        <f>IF('0 Úvod'!$M$10="English",Slovnik!D72,Slovnik!C72)</f>
        <v>Sdělovací zařízení</v>
      </c>
      <c r="D4" s="234">
        <v>50219449.512985393</v>
      </c>
      <c r="E4" s="1920">
        <f t="shared" si="0"/>
        <v>1004388990.2597079</v>
      </c>
      <c r="F4" s="161"/>
      <c r="G4" s="2271"/>
      <c r="H4" s="179" t="str">
        <f>IF('0 Úvod'!$M$10="English",Slovnik!D72,Slovnik!C72)</f>
        <v>Sdělovací zařízení</v>
      </c>
      <c r="I4" s="176">
        <v>20</v>
      </c>
    </row>
    <row r="5" spans="2:9" ht="14.25" x14ac:dyDescent="0.3">
      <c r="B5" s="2280"/>
      <c r="C5" s="1924" t="str">
        <f>IF('0 Úvod'!$M$10="English",Slovnik!D73,Slovnik!C73)</f>
        <v>Silnoproudé rozvody a zařízení</v>
      </c>
      <c r="D5" s="234">
        <v>57537083.547412686</v>
      </c>
      <c r="E5" s="1920">
        <f t="shared" si="0"/>
        <v>1150741670.9482536</v>
      </c>
      <c r="F5" s="161"/>
      <c r="G5" s="2271"/>
      <c r="H5" s="179" t="str">
        <f>IF('0 Úvod'!$M$10="English",Slovnik!D73,Slovnik!C73)</f>
        <v>Silnoproudé rozvody a zařízení</v>
      </c>
      <c r="I5" s="176">
        <v>20</v>
      </c>
    </row>
    <row r="6" spans="2:9" ht="14.25" x14ac:dyDescent="0.3">
      <c r="B6" s="2280"/>
      <c r="C6" s="1924" t="str">
        <f>IF('0 Úvod'!$M$10="English",Slovnik!D74,Slovnik!C74)</f>
        <v>Železniční svršek</v>
      </c>
      <c r="D6" s="234">
        <v>120311709.38851537</v>
      </c>
      <c r="E6" s="1920">
        <f t="shared" si="0"/>
        <v>3609351281.6554608</v>
      </c>
      <c r="F6" s="161"/>
      <c r="G6" s="2271"/>
      <c r="H6" s="179" t="str">
        <f>IF('0 Úvod'!$M$10="English",Slovnik!D74,Slovnik!C74)</f>
        <v>Železniční svršek</v>
      </c>
      <c r="I6" s="176">
        <v>30</v>
      </c>
    </row>
    <row r="7" spans="2:9" ht="14.25" x14ac:dyDescent="0.3">
      <c r="B7" s="2280"/>
      <c r="C7" s="1924" t="str">
        <f>IF('0 Úvod'!$M$10="English",Slovnik!D75,Slovnik!C75)</f>
        <v>Železniční spodek</v>
      </c>
      <c r="D7" s="234">
        <v>57689140.947014667</v>
      </c>
      <c r="E7" s="1920">
        <f t="shared" si="0"/>
        <v>3461348456.8208799</v>
      </c>
      <c r="F7" s="161"/>
      <c r="G7" s="2271"/>
      <c r="H7" s="179" t="str">
        <f>IF('0 Úvod'!$M$10="English",Slovnik!D75,Slovnik!C75)</f>
        <v>Železniční spodek</v>
      </c>
      <c r="I7" s="176">
        <v>60</v>
      </c>
    </row>
    <row r="8" spans="2:9" ht="14.25" x14ac:dyDescent="0.3">
      <c r="B8" s="2280"/>
      <c r="C8" s="1924" t="str">
        <f>IF('0 Úvod'!$M$10="English",Slovnik!D76,Slovnik!C76)</f>
        <v>Pevná jízdní dráha</v>
      </c>
      <c r="D8" s="234"/>
      <c r="E8" s="1920">
        <f t="shared" si="0"/>
        <v>0</v>
      </c>
      <c r="F8" s="161"/>
      <c r="G8" s="2271"/>
      <c r="H8" s="179" t="str">
        <f>IF('0 Úvod'!$M$10="English",Slovnik!D76,Slovnik!C76)</f>
        <v>Pevná jízdní dráha</v>
      </c>
      <c r="I8" s="176">
        <v>50</v>
      </c>
    </row>
    <row r="9" spans="2:9" ht="14.25" x14ac:dyDescent="0.3">
      <c r="B9" s="2280"/>
      <c r="C9" s="1924" t="str">
        <f>IF('0 Úvod'!$M$10="English",Slovnik!D77,Slovnik!C77)</f>
        <v>Mosty, propustky, zdi</v>
      </c>
      <c r="D9" s="234">
        <v>82671668.577369541</v>
      </c>
      <c r="E9" s="1920">
        <f t="shared" si="0"/>
        <v>6200375143.3027153</v>
      </c>
      <c r="F9" s="161"/>
      <c r="G9" s="2271"/>
      <c r="H9" s="179" t="str">
        <f>IF('0 Úvod'!$M$10="English",Slovnik!D77,Slovnik!C77)</f>
        <v>Mosty, propustky, zdi</v>
      </c>
      <c r="I9" s="176">
        <v>75</v>
      </c>
    </row>
    <row r="10" spans="2:9" ht="14.25" x14ac:dyDescent="0.3">
      <c r="B10" s="2280"/>
      <c r="C10" s="1924" t="str">
        <f>IF('0 Úvod'!$M$10="English",Slovnik!D78,Slovnik!C78)</f>
        <v>Tunely</v>
      </c>
      <c r="D10" s="234"/>
      <c r="E10" s="1920">
        <f t="shared" si="0"/>
        <v>0</v>
      </c>
      <c r="F10" s="161"/>
      <c r="G10" s="2271"/>
      <c r="H10" s="179" t="str">
        <f>IF('0 Úvod'!$M$10="English",Slovnik!D78,Slovnik!C78)</f>
        <v>Tunely</v>
      </c>
      <c r="I10" s="176">
        <v>90</v>
      </c>
    </row>
    <row r="11" spans="2:9" ht="14.25" x14ac:dyDescent="0.3">
      <c r="B11" s="2280"/>
      <c r="C11" s="1924" t="str">
        <f>IF('0 Úvod'!$M$10="English",Slovnik!D79,Slovnik!C79)</f>
        <v>Komunikace a zpevněné plochy</v>
      </c>
      <c r="D11" s="234">
        <v>6378293.9354162281</v>
      </c>
      <c r="E11" s="1920">
        <f t="shared" si="0"/>
        <v>127565878.70832457</v>
      </c>
      <c r="F11" s="161"/>
      <c r="G11" s="2271"/>
      <c r="H11" s="179" t="str">
        <f>IF('0 Úvod'!$M$10="English",Slovnik!D79,Slovnik!C79)</f>
        <v>Komunikace a zpevněné plochy</v>
      </c>
      <c r="I11" s="176">
        <v>20</v>
      </c>
    </row>
    <row r="12" spans="2:9" ht="14.25" x14ac:dyDescent="0.3">
      <c r="B12" s="2280"/>
      <c r="C12" s="1924" t="str">
        <f>IF('0 Úvod'!$M$10="English",Slovnik!D80,Slovnik!C80)</f>
        <v>Trakce</v>
      </c>
      <c r="D12" s="234">
        <v>42039237.77247905</v>
      </c>
      <c r="E12" s="1920">
        <f t="shared" si="0"/>
        <v>1261177133.1743715</v>
      </c>
      <c r="F12" s="161"/>
      <c r="G12" s="2271"/>
      <c r="H12" s="179" t="str">
        <f>IF('0 Úvod'!$M$10="English",Slovnik!D80,Slovnik!C80)</f>
        <v>Trakce</v>
      </c>
      <c r="I12" s="176">
        <v>30</v>
      </c>
    </row>
    <row r="13" spans="2:9" ht="14.25" x14ac:dyDescent="0.3">
      <c r="B13" s="2280"/>
      <c r="C13" s="1924" t="str">
        <f>IF('0 Úvod'!$M$10="English",Slovnik!D81,Slovnik!C81)</f>
        <v>Inženýrské sítě (trubní vedení, kabelovody)</v>
      </c>
      <c r="D13" s="234">
        <v>4346868.5152916191</v>
      </c>
      <c r="E13" s="1920">
        <f t="shared" si="0"/>
        <v>86937370.305832386</v>
      </c>
      <c r="F13" s="161"/>
      <c r="G13" s="2271"/>
      <c r="H13" s="179" t="str">
        <f>IF('0 Úvod'!$M$10="English",Slovnik!D81,Slovnik!C81)</f>
        <v>Inženýrské sítě (trubní vedení, kabelovody)</v>
      </c>
      <c r="I13" s="176">
        <v>20</v>
      </c>
    </row>
    <row r="14" spans="2:9" ht="14.25" x14ac:dyDescent="0.3">
      <c r="B14" s="2280"/>
      <c r="C14" s="1924" t="str">
        <f>IF('0 Úvod'!$M$10="English",Slovnik!D82,Slovnik!C82)</f>
        <v>Pozemní stavby, nástupiště a přístřešky</v>
      </c>
      <c r="D14" s="234">
        <v>70554556.5008246</v>
      </c>
      <c r="E14" s="1920">
        <f t="shared" si="0"/>
        <v>2822182260.0329838</v>
      </c>
      <c r="F14" s="161"/>
      <c r="G14" s="2271"/>
      <c r="H14" s="179" t="str">
        <f>IF('0 Úvod'!$M$10="English",Slovnik!D82,Slovnik!C82)</f>
        <v>Pozemní stavby, nástupiště a přístřešky</v>
      </c>
      <c r="I14" s="176">
        <v>40</v>
      </c>
    </row>
    <row r="15" spans="2:9" ht="14.25" x14ac:dyDescent="0.3">
      <c r="B15" s="2280"/>
      <c r="C15" s="1924" t="str">
        <f>IF('0 Úvod'!$M$10="English",Slovnik!D83,Slovnik!C83)</f>
        <v>Objekty ochrany životního prostředí</v>
      </c>
      <c r="D15" s="235">
        <v>11821761.216738287</v>
      </c>
      <c r="E15" s="1920">
        <f t="shared" si="0"/>
        <v>354652836.50214863</v>
      </c>
      <c r="F15" s="161"/>
      <c r="G15" s="2271"/>
      <c r="H15" s="179" t="str">
        <f>IF('0 Úvod'!$M$10="English",Slovnik!D83,Slovnik!C83)</f>
        <v>Objekty ochrany životního prostředí</v>
      </c>
      <c r="I15" s="176">
        <v>30</v>
      </c>
    </row>
    <row r="16" spans="2:9" ht="14.25" x14ac:dyDescent="0.3">
      <c r="B16" s="2281" t="str">
        <f>IF('0 Úvod'!$M$10="English",Slovnik!$D$68,Slovnik!$C$68)</f>
        <v>SILNIČNÍ INFRASTRUKTURA</v>
      </c>
      <c r="C16" s="1925" t="str">
        <f>IF('0 Úvod'!$M$10="English",Slovnik!D84,Slovnik!C84)</f>
        <v>Obrusná vrstva - netuhé asfaltové</v>
      </c>
      <c r="D16" s="234"/>
      <c r="E16" s="1921">
        <f t="shared" si="0"/>
        <v>0</v>
      </c>
      <c r="F16" s="161"/>
      <c r="G16" s="2272" t="str">
        <f>IF('0 Úvod'!$M$10="English",Slovnik!$D$68,Slovnik!$C$68)</f>
        <v>SILNIČNÍ INFRASTRUKTURA</v>
      </c>
      <c r="H16" s="182" t="str">
        <f>IF('0 Úvod'!$M$10="English",Slovnik!D84,Slovnik!C84)</f>
        <v>Obrusná vrstva - netuhé asfaltové</v>
      </c>
      <c r="I16" s="183">
        <v>12</v>
      </c>
    </row>
    <row r="17" spans="2:9" ht="14.25" x14ac:dyDescent="0.3">
      <c r="B17" s="2280"/>
      <c r="C17" s="1924" t="str">
        <f>IF('0 Úvod'!$M$10="English",Slovnik!D85,Slovnik!C85)</f>
        <v>Obrusná vrstva - tuhé cementobetonové</v>
      </c>
      <c r="D17" s="234"/>
      <c r="E17" s="1920">
        <f t="shared" si="0"/>
        <v>0</v>
      </c>
      <c r="F17" s="161"/>
      <c r="G17" s="2271"/>
      <c r="H17" s="179" t="str">
        <f>IF('0 Úvod'!$M$10="English",Slovnik!D85,Slovnik!C85)</f>
        <v>Obrusná vrstva - tuhé cementobetonové</v>
      </c>
      <c r="I17" s="177">
        <v>25</v>
      </c>
    </row>
    <row r="18" spans="2:9" ht="14.25" x14ac:dyDescent="0.3">
      <c r="B18" s="2280"/>
      <c r="C18" s="1924" t="str">
        <f>IF('0 Úvod'!$M$10="English",Slovnik!D86,Slovnik!C86)</f>
        <v>Ložná vrstva - netuhé asfaltové</v>
      </c>
      <c r="D18" s="234"/>
      <c r="E18" s="1920">
        <f t="shared" si="0"/>
        <v>0</v>
      </c>
      <c r="F18" s="161"/>
      <c r="G18" s="2271"/>
      <c r="H18" s="179" t="str">
        <f>IF('0 Úvod'!$M$10="English",Slovnik!D86,Slovnik!C86)</f>
        <v>Ložná vrstva - netuhé asfaltové</v>
      </c>
      <c r="I18" s="177">
        <v>20</v>
      </c>
    </row>
    <row r="19" spans="2:9" ht="14.25" x14ac:dyDescent="0.3">
      <c r="B19" s="2280"/>
      <c r="C19" s="1924" t="str">
        <f>IF('0 Úvod'!$M$10="English",Slovnik!D87,Slovnik!C87)</f>
        <v>Podkladní vrstvy</v>
      </c>
      <c r="D19" s="234"/>
      <c r="E19" s="1920">
        <f t="shared" si="0"/>
        <v>0</v>
      </c>
      <c r="F19" s="161"/>
      <c r="G19" s="2271"/>
      <c r="H19" s="179" t="str">
        <f>IF('0 Úvod'!$M$10="English",Slovnik!D87,Slovnik!C87)</f>
        <v>Podkladní vrstvy</v>
      </c>
      <c r="I19" s="177">
        <v>40</v>
      </c>
    </row>
    <row r="20" spans="2:9" ht="14.25" x14ac:dyDescent="0.3">
      <c r="B20" s="2280"/>
      <c r="C20" s="1924" t="str">
        <f>IF('0 Úvod'!$M$10="English",Slovnik!D88,Slovnik!C88)</f>
        <v>Inženýrské sítě a komunikace</v>
      </c>
      <c r="D20" s="234"/>
      <c r="E20" s="1920">
        <f t="shared" si="0"/>
        <v>0</v>
      </c>
      <c r="F20" s="161"/>
      <c r="G20" s="2271"/>
      <c r="H20" s="179" t="str">
        <f>IF('0 Úvod'!$M$10="English",Slovnik!D88,Slovnik!C88)</f>
        <v>Inženýrské sítě a komunikace</v>
      </c>
      <c r="I20" s="177">
        <v>20</v>
      </c>
    </row>
    <row r="21" spans="2:9" ht="14.25" x14ac:dyDescent="0.3">
      <c r="B21" s="2280"/>
      <c r="C21" s="1924" t="str">
        <f>IF('0 Úvod'!$M$10="English",Slovnik!D89,Slovnik!C89)</f>
        <v>Odvodňovací zařízení</v>
      </c>
      <c r="D21" s="234"/>
      <c r="E21" s="1920">
        <f t="shared" si="0"/>
        <v>0</v>
      </c>
      <c r="F21" s="161"/>
      <c r="G21" s="2271"/>
      <c r="H21" s="179" t="str">
        <f>IF('0 Úvod'!$M$10="English",Slovnik!D89,Slovnik!C89)</f>
        <v>Odvodňovací zařízení</v>
      </c>
      <c r="I21" s="177">
        <v>50</v>
      </c>
    </row>
    <row r="22" spans="2:9" ht="14.25" x14ac:dyDescent="0.3">
      <c r="B22" s="2280"/>
      <c r="C22" s="1924" t="str">
        <f>IF('0 Úvod'!$M$10="English",Slovnik!D90,Slovnik!C90)</f>
        <v>Zemní těleso</v>
      </c>
      <c r="D22" s="234"/>
      <c r="E22" s="1920">
        <f t="shared" si="0"/>
        <v>0</v>
      </c>
      <c r="F22" s="161"/>
      <c r="G22" s="2271"/>
      <c r="H22" s="179" t="str">
        <f>IF('0 Úvod'!$M$10="English",Slovnik!D90,Slovnik!C90)</f>
        <v>Zemní těleso</v>
      </c>
      <c r="I22" s="177">
        <v>65</v>
      </c>
    </row>
    <row r="23" spans="2:9" ht="14.25" x14ac:dyDescent="0.3">
      <c r="B23" s="2280"/>
      <c r="C23" s="1924" t="str">
        <f>IF('0 Úvod'!$M$10="English",Slovnik!D91,Slovnik!C91)</f>
        <v>Mosty</v>
      </c>
      <c r="D23" s="234"/>
      <c r="E23" s="1920">
        <f t="shared" si="0"/>
        <v>0</v>
      </c>
      <c r="F23" s="161"/>
      <c r="G23" s="2271"/>
      <c r="H23" s="179" t="str">
        <f>IF('0 Úvod'!$M$10="English",Slovnik!D91,Slovnik!C91)</f>
        <v>Mosty</v>
      </c>
      <c r="I23" s="177">
        <v>75</v>
      </c>
    </row>
    <row r="24" spans="2:9" ht="14.25" x14ac:dyDescent="0.3">
      <c r="B24" s="2282"/>
      <c r="C24" s="1926" t="str">
        <f>IF('0 Úvod'!$M$10="English",Slovnik!D92,Slovnik!C92)</f>
        <v>Tunely</v>
      </c>
      <c r="D24" s="235"/>
      <c r="E24" s="1922">
        <f t="shared" si="0"/>
        <v>0</v>
      </c>
      <c r="F24" s="161"/>
      <c r="G24" s="2273"/>
      <c r="H24" s="184" t="str">
        <f>IF('0 Úvod'!$M$10="English",Slovnik!D92,Slovnik!C92)</f>
        <v>Tunely</v>
      </c>
      <c r="I24" s="185">
        <v>90</v>
      </c>
    </row>
    <row r="25" spans="2:9" ht="14.25" x14ac:dyDescent="0.3">
      <c r="B25" s="2280" t="str">
        <f>IF('0 Úvod'!$M$10="English",Slovnik!$D$69,Slovnik!$C$69)</f>
        <v>VODNÍ INFRASTRUKTURA</v>
      </c>
      <c r="C25" s="1924" t="str">
        <f>IF('0 Úvod'!$M$10="English",Slovnik!D93,Slovnik!C93)</f>
        <v>Přístavní zdi</v>
      </c>
      <c r="D25" s="234"/>
      <c r="E25" s="1920">
        <f t="shared" si="0"/>
        <v>0</v>
      </c>
      <c r="F25" s="161"/>
      <c r="G25" s="2271" t="str">
        <f>IF('0 Úvod'!$M$10="English",Slovnik!$D$69,Slovnik!$C$69)</f>
        <v>VODNÍ INFRASTRUKTURA</v>
      </c>
      <c r="H25" s="179" t="str">
        <f>IF('0 Úvod'!$M$10="English",Slovnik!D93,Slovnik!C93)</f>
        <v>Přístavní zdi</v>
      </c>
      <c r="I25" s="177">
        <v>50</v>
      </c>
    </row>
    <row r="26" spans="2:9" ht="14.25" x14ac:dyDescent="0.3">
      <c r="B26" s="2280"/>
      <c r="C26" s="1924" t="str">
        <f>IF('0 Úvod'!$M$10="English",Slovnik!D94,Slovnik!C94)</f>
        <v>Hrubé hydrotechnické konstrukce**</v>
      </c>
      <c r="D26" s="1918"/>
      <c r="E26" s="1920">
        <f t="shared" si="0"/>
        <v>0</v>
      </c>
      <c r="F26" s="161"/>
      <c r="G26" s="2271"/>
      <c r="H26" s="179" t="str">
        <f>IF('0 Úvod'!$M$10="English",Slovnik!D94,Slovnik!C94)</f>
        <v>Hrubé hydrotechnické konstrukce**</v>
      </c>
      <c r="I26" s="177">
        <v>80</v>
      </c>
    </row>
    <row r="27" spans="2:9" ht="14.25" x14ac:dyDescent="0.3">
      <c r="B27" s="2280"/>
      <c r="C27" s="1924" t="str">
        <f>IF('0 Úvod'!$M$10="English",Slovnik!D95,Slovnik!C95)</f>
        <v>Ocelové konstrukce***</v>
      </c>
      <c r="D27" s="1918"/>
      <c r="E27" s="1920">
        <f t="shared" si="0"/>
        <v>0</v>
      </c>
      <c r="F27" s="161"/>
      <c r="G27" s="2271"/>
      <c r="H27" s="179" t="str">
        <f>IF('0 Úvod'!$M$10="English",Slovnik!D95,Slovnik!C95)</f>
        <v>Ocelové konstrukce***</v>
      </c>
      <c r="I27" s="177">
        <v>50</v>
      </c>
    </row>
    <row r="28" spans="2:9" ht="14.25" x14ac:dyDescent="0.3">
      <c r="B28" s="2280"/>
      <c r="C28" s="1924" t="str">
        <f>IF('0 Úvod'!$M$10="English",Slovnik!D96,Slovnik!C96)</f>
        <v>Mosty, propustky, tunely a štoly</v>
      </c>
      <c r="D28" s="1918"/>
      <c r="E28" s="1920">
        <f t="shared" si="0"/>
        <v>0</v>
      </c>
      <c r="F28" s="161"/>
      <c r="G28" s="2271"/>
      <c r="H28" s="179" t="str">
        <f>IF('0 Úvod'!$M$10="English",Slovnik!D96,Slovnik!C96)</f>
        <v>Mosty, propustky, tunely a štoly</v>
      </c>
      <c r="I28" s="177">
        <v>75</v>
      </c>
    </row>
    <row r="29" spans="2:9" ht="14.25" x14ac:dyDescent="0.3">
      <c r="B29" s="2280"/>
      <c r="C29" s="1924" t="str">
        <f>IF('0 Úvod'!$M$10="English",Slovnik!D97,Slovnik!C97)</f>
        <v>Pozemní stavby</v>
      </c>
      <c r="D29" s="1918"/>
      <c r="E29" s="1920">
        <f t="shared" si="0"/>
        <v>0</v>
      </c>
      <c r="F29" s="161"/>
      <c r="G29" s="2271"/>
      <c r="H29" s="179" t="str">
        <f>IF('0 Úvod'!$M$10="English",Slovnik!D97,Slovnik!C97)</f>
        <v>Pozemní stavby</v>
      </c>
      <c r="I29" s="177">
        <v>40</v>
      </c>
    </row>
    <row r="30" spans="2:9" ht="14.25" x14ac:dyDescent="0.3">
      <c r="B30" s="2280"/>
      <c r="C30" s="1924" t="str">
        <f>IF('0 Úvod'!$M$10="English",Slovnik!D98,Slovnik!C98)</f>
        <v>Komunikace a zpevněné plochy</v>
      </c>
      <c r="D30" s="1918"/>
      <c r="E30" s="1920">
        <f t="shared" si="0"/>
        <v>0</v>
      </c>
      <c r="F30" s="161"/>
      <c r="G30" s="2271"/>
      <c r="H30" s="179" t="str">
        <f>IF('0 Úvod'!$M$10="English",Slovnik!D98,Slovnik!C98)</f>
        <v>Komunikace a zpevněné plochy</v>
      </c>
      <c r="I30" s="177">
        <v>20</v>
      </c>
    </row>
    <row r="31" spans="2:9" ht="14.25" x14ac:dyDescent="0.3">
      <c r="B31" s="2280"/>
      <c r="C31" s="1924" t="str">
        <f>IF('0 Úvod'!$M$10="English",Slovnik!D99,Slovnik!C99)</f>
        <v>Silnoproudá instalace</v>
      </c>
      <c r="D31" s="1918"/>
      <c r="E31" s="1920">
        <f t="shared" si="0"/>
        <v>0</v>
      </c>
      <c r="F31" s="161"/>
      <c r="G31" s="2271"/>
      <c r="H31" s="179" t="str">
        <f>IF('0 Úvod'!$M$10="English",Slovnik!D99,Slovnik!C99)</f>
        <v>Silnoproudá instalace</v>
      </c>
      <c r="I31" s="177">
        <v>20</v>
      </c>
    </row>
    <row r="32" spans="2:9" ht="14.25" x14ac:dyDescent="0.3">
      <c r="B32" s="2280"/>
      <c r="C32" s="1924" t="str">
        <f>IF('0 Úvod'!$M$10="English",Slovnik!D100,Slovnik!C100)</f>
        <v>Slaboproudá instalace</v>
      </c>
      <c r="D32" s="1918"/>
      <c r="E32" s="1920">
        <f t="shared" si="0"/>
        <v>0</v>
      </c>
      <c r="F32" s="161"/>
      <c r="G32" s="2271"/>
      <c r="H32" s="179" t="str">
        <f>IF('0 Úvod'!$M$10="English",Slovnik!D100,Slovnik!C100)</f>
        <v>Slaboproudá instalace</v>
      </c>
      <c r="I32" s="177">
        <v>20</v>
      </c>
    </row>
    <row r="33" spans="2:17" ht="14.25" x14ac:dyDescent="0.3">
      <c r="B33" s="2280"/>
      <c r="C33" s="1924" t="str">
        <f>IF('0 Úvod'!$M$10="English",Slovnik!D101,Slovnik!C101)</f>
        <v>Inženýrské objekty (trubní vedení a kabelovody)</v>
      </c>
      <c r="D33" s="1918"/>
      <c r="E33" s="1920">
        <f t="shared" si="0"/>
        <v>0</v>
      </c>
      <c r="F33" s="161"/>
      <c r="G33" s="2271"/>
      <c r="H33" s="179" t="str">
        <f>IF('0 Úvod'!$M$10="English",Slovnik!D101,Slovnik!C101)</f>
        <v>Inženýrské objekty (trubní vedení a kabelovody)</v>
      </c>
      <c r="I33" s="177">
        <v>20</v>
      </c>
    </row>
    <row r="34" spans="2:17" ht="14.25" x14ac:dyDescent="0.3">
      <c r="B34" s="2280"/>
      <c r="C34" s="1924" t="str">
        <f>IF('0 Úvod'!$M$10="English",Slovnik!D102,Slovnik!C102)</f>
        <v>Úpravy vodní cesty a terénní úpravy</v>
      </c>
      <c r="D34" s="1918"/>
      <c r="E34" s="1920">
        <f t="shared" si="0"/>
        <v>0</v>
      </c>
      <c r="F34" s="161"/>
      <c r="G34" s="2271"/>
      <c r="H34" s="179" t="str">
        <f>IF('0 Úvod'!$M$10="English",Slovnik!D102,Slovnik!C102)</f>
        <v>Úpravy vodní cesty a terénní úpravy</v>
      </c>
      <c r="I34" s="177">
        <v>80</v>
      </c>
    </row>
    <row r="35" spans="2:17" ht="14.25" x14ac:dyDescent="0.3">
      <c r="B35" s="2280"/>
      <c r="C35" s="1924" t="str">
        <f>IF('0 Úvod'!$M$10="English",Slovnik!D103,Slovnik!C103)</f>
        <v>Ochrana životního prostředí</v>
      </c>
      <c r="D35" s="235"/>
      <c r="E35" s="1920">
        <f t="shared" si="0"/>
        <v>0</v>
      </c>
      <c r="F35" s="161"/>
      <c r="G35" s="2271"/>
      <c r="H35" s="179" t="str">
        <f>IF('0 Úvod'!$M$10="English",Slovnik!D103,Slovnik!C103)</f>
        <v>Ochrana životního prostředí</v>
      </c>
      <c r="I35" s="1930">
        <v>30</v>
      </c>
    </row>
    <row r="36" spans="2:17" ht="14.25" x14ac:dyDescent="0.3">
      <c r="B36" s="2283" t="str">
        <f>IF('0 Úvod'!$M$10="English",Slovnik!$D$737,Slovnik!$C$737)</f>
        <v>OSTATNÍ</v>
      </c>
      <c r="C36" s="1925" t="str">
        <f>IF('0 Úvod'!$M$10="English",Slovnik!$D$738,Slovnik!$C$738)</f>
        <v xml:space="preserve">Ocelové konstrukce (portálový jeřáb) </v>
      </c>
      <c r="D36" s="234"/>
      <c r="E36" s="1921">
        <f t="shared" si="0"/>
        <v>0</v>
      </c>
      <c r="F36" s="161"/>
      <c r="G36" s="2283" t="str">
        <f>IF('0 Úvod'!$M$10="English",Slovnik!$D$737,Slovnik!$C$737)</f>
        <v>OSTATNÍ</v>
      </c>
      <c r="H36" s="182" t="str">
        <f>IF('0 Úvod'!$M$10="English",Slovnik!$D$740,Slovnik!$C$740)</f>
        <v>Ocelové konstrukce (portálový jeřáb) ****</v>
      </c>
      <c r="I36" s="1927">
        <v>15</v>
      </c>
      <c r="J36" s="1928"/>
    </row>
    <row r="37" spans="2:17" ht="15" thickBot="1" x14ac:dyDescent="0.35">
      <c r="B37" s="2284"/>
      <c r="C37" s="1926" t="str">
        <f>IF('0 Úvod'!$M$10="English",Slovnik!$D$739,Slovnik!$C$739)</f>
        <v xml:space="preserve">Manipulační technika (překladače) </v>
      </c>
      <c r="D37" s="1918"/>
      <c r="E37" s="1922">
        <f t="shared" si="0"/>
        <v>0</v>
      </c>
      <c r="F37" s="161"/>
      <c r="G37" s="2285"/>
      <c r="H37" s="180" t="str">
        <f>IF('0 Úvod'!$M$10="English",Slovnik!$D$741,Slovnik!$C$741)</f>
        <v>Manipulační technika (překladače) ****</v>
      </c>
      <c r="I37" s="1927">
        <v>8</v>
      </c>
      <c r="J37" s="1928"/>
    </row>
    <row r="38" spans="2:17" ht="15" thickBot="1" x14ac:dyDescent="0.35">
      <c r="B38" s="171"/>
      <c r="C38" s="172" t="str">
        <f>IF('0 Úvod'!$M$10="English",Slovnik!D104,Slovnik!C104)</f>
        <v>CELKEM</v>
      </c>
      <c r="D38" s="237">
        <f>SUM(D3:D37)</f>
        <v>642163267.95570374</v>
      </c>
      <c r="E38" s="236">
        <f>SUM(E3:E37)</f>
        <v>22850590982.543804</v>
      </c>
      <c r="F38" s="161"/>
      <c r="G38" s="25"/>
      <c r="H38" s="25"/>
      <c r="I38" s="1929"/>
    </row>
    <row r="39" spans="2:17" ht="13.15" customHeight="1" thickBot="1" x14ac:dyDescent="0.35">
      <c r="B39" s="2277" t="str">
        <f>IF('0 Úvod'!$M$10="English",Slovnik!$D$107,Slovnik!$C$107)</f>
        <v>Celková životnost investice (roky)</v>
      </c>
      <c r="C39" s="2278"/>
      <c r="D39" s="2278"/>
      <c r="E39" s="181">
        <f>ROUND(E38/D38,0)</f>
        <v>36</v>
      </c>
      <c r="F39" s="164"/>
      <c r="I39" s="157"/>
    </row>
    <row r="40" spans="2:17" ht="14.25" x14ac:dyDescent="0.3">
      <c r="I40" s="158"/>
    </row>
    <row r="41" spans="2:17" ht="14.25" thickBot="1" x14ac:dyDescent="0.35"/>
    <row r="42" spans="2:17" ht="14.25" thickBot="1" x14ac:dyDescent="0.35">
      <c r="B42" s="173" t="s">
        <v>164</v>
      </c>
      <c r="C42" s="188" t="str">
        <f>IF('0 Úvod'!$M$10="English",Slovnik!D111,Slovnik!C111)</f>
        <v>Výpočet zůstatkové hodnoty pro FA</v>
      </c>
      <c r="D42" s="187"/>
      <c r="G42" s="168" t="s">
        <v>165</v>
      </c>
      <c r="H42" s="202" t="str">
        <f>IF('0 Úvod'!$M$10="English",Slovnik!$D$117,Slovnik!$C$117)</f>
        <v>Výpočet zůstatkové hodnoty pro EA</v>
      </c>
      <c r="I42" s="187"/>
      <c r="Q42" s="155"/>
    </row>
    <row r="43" spans="2:17" ht="14.25" x14ac:dyDescent="0.3">
      <c r="B43" s="189"/>
      <c r="C43" s="190" t="str">
        <f>IF('0 Úvod'!$M$10="English",Slovnik!D112,Slovnik!C112)</f>
        <v>Celková životnost investice</v>
      </c>
      <c r="D43" s="371">
        <f>$E$39</f>
        <v>36</v>
      </c>
      <c r="G43" s="189"/>
      <c r="H43" s="190" t="str">
        <f>IF('0 Úvod'!$M$10="English",Slovnik!D112,Slovnik!C112)</f>
        <v>Celková životnost investice</v>
      </c>
      <c r="I43" s="371">
        <f>$E$39</f>
        <v>36</v>
      </c>
      <c r="Q43" s="155"/>
    </row>
    <row r="44" spans="2:17" ht="14.25" x14ac:dyDescent="0.3">
      <c r="B44" s="191"/>
      <c r="C44" s="192" t="str">
        <f>IF('0 Úvod'!$M$10="English",Slovnik!D113,Slovnik!C113)</f>
        <v>Délka provozní fáze hodnotícího období</v>
      </c>
      <c r="D44" s="372">
        <f>'0 Úvod'!$J$18-('0 Úvod'!$G$20-'0 Úvod'!$G$18)</f>
        <v>28</v>
      </c>
      <c r="G44" s="191"/>
      <c r="H44" s="192" t="str">
        <f>IF('0 Úvod'!$M$10="English",Slovnik!D113,Slovnik!C113)</f>
        <v>Délka provozní fáze hodnotícího období</v>
      </c>
      <c r="I44" s="372">
        <f>'0 Úvod'!$J$18-('0 Úvod'!$G$20-'0 Úvod'!$G$18)</f>
        <v>28</v>
      </c>
      <c r="K44" s="155"/>
      <c r="Q44" s="155"/>
    </row>
    <row r="45" spans="2:17" ht="14.25" x14ac:dyDescent="0.3">
      <c r="B45" s="191"/>
      <c r="C45" s="192" t="str">
        <f>IF('0 Úvod'!$M$10="English",Slovnik!D114,Slovnik!C114)</f>
        <v>Životnost investice po skončení hodnotícího období</v>
      </c>
      <c r="D45" s="372">
        <f>IF((D43-D44)&lt;0,0,D43-D44)</f>
        <v>8</v>
      </c>
      <c r="G45" s="191"/>
      <c r="H45" s="192" t="str">
        <f>IF('0 Úvod'!$M$10="English",Slovnik!D114,Slovnik!C114)</f>
        <v>Životnost investice po skončení hodnotícího období</v>
      </c>
      <c r="I45" s="372">
        <f>IF((I43-I44)&lt;0,0,I43-I44)</f>
        <v>8</v>
      </c>
      <c r="K45" s="155"/>
      <c r="Q45" s="155"/>
    </row>
    <row r="46" spans="2:17" ht="15" thickBot="1" x14ac:dyDescent="0.35">
      <c r="B46" s="193"/>
      <c r="C46" s="194" t="str">
        <f>IF('0 Úvod'!$M$10="English",Slovnik!D115,Slovnik!C115)</f>
        <v>Průměrný nákladový peněžní tok (nediskontovaný)</v>
      </c>
      <c r="D46" s="373">
        <f>SUM('10 Finanční analýza (FRR_C)'!E14:S14,'10 Finanční analýza (FRR_C)'!E27:S27)/('0 Úvod'!J18-('0 Úvod'!$G$20-'0 Úvod'!G18))</f>
        <v>5624206.5819795001</v>
      </c>
      <c r="G46" s="191"/>
      <c r="H46" s="192" t="str">
        <f>IF('0 Úvod'!$M$10="English",Slovnik!D115,Slovnik!C115)</f>
        <v>Průměrný nákladový peněžní tok (nediskontovaný)</v>
      </c>
      <c r="I46" s="374">
        <f>SUM('12 Ekonomická analýza (ERR)'!F23:T23,'12 Ekonomická analýza (ERR)'!F45:T45)/('0 Úvod'!J18-('0 Úvod'!$G$20-'0 Úvod'!G18))</f>
        <v>-179286.39478550266</v>
      </c>
      <c r="K46" s="155"/>
      <c r="Q46" s="155"/>
    </row>
    <row r="47" spans="2:17" ht="15" thickBot="1" x14ac:dyDescent="0.35">
      <c r="B47" s="195"/>
      <c r="C47" s="196" t="str">
        <f>IF('0 Úvod'!$M$10="English",Slovnik!D116,Slovnik!C116)</f>
        <v>ZŮSTATKOVÁ HODNOTA</v>
      </c>
      <c r="D47" s="197">
        <f>IF((D46*(1/(1+'0 Úvod'!J20))*(((1/(1+'0 Úvod'!J20))^D45-1)/((1/(1+'0 Úvod'!J20))-1)))&lt;0,0,D46*(1/(1+'0 Úvod'!J20))*(((1/(1+'0 Úvod'!J20))^D45-1)/((1/(1+'0 Úvod'!J20))-1)))</f>
        <v>37866348.040484771</v>
      </c>
      <c r="G47" s="193"/>
      <c r="H47" s="194" t="str">
        <f>IF('0 Úvod'!$M$10="English",Slovnik!$D$118,Slovnik!$C$118)</f>
        <v>Ekonomický přínos v posledním roce (nediskontovaný)</v>
      </c>
      <c r="I47" s="373">
        <f>IF('0 Úvod'!J18&gt;15,(HLOOKUP(('0 Úvod'!G18+'0 Úvod'!J18-1),'12 Ekonomická analýza (ERR)'!$F$24:$T$45,15,FALSE)-HLOOKUP(('0 Úvod'!G18+'0 Úvod'!J18-1),'12 Ekonomická analýza (ERR)'!$F$24:$T$45,22,FALSE)),(HLOOKUP(('0 Úvod'!G18+'0 Úvod'!J18-1),'12 Ekonomická analýza (ERR)'!$F$2:$T$23,15,FALSE)-HLOOKUP(('0 Úvod'!G18+'0 Úvod'!J18-1),'12 Ekonomická analýza (ERR)'!$F$2:$T$23,22,FALSE)))</f>
        <v>41222528.949494049</v>
      </c>
      <c r="J47" s="1106"/>
      <c r="K47" s="155"/>
      <c r="Q47" s="155"/>
    </row>
    <row r="48" spans="2:17" ht="15" thickBot="1" x14ac:dyDescent="0.35">
      <c r="G48" s="195"/>
      <c r="H48" s="196" t="str">
        <f>IF('0 Úvod'!$M$10="English",Slovnik!D116,Slovnik!C116)</f>
        <v>ZŮSTATKOVÁ HODNOTA</v>
      </c>
      <c r="I48" s="197">
        <f>IF(((I46+I47)*(1/(1+'0 Úvod'!K20))*(((1/(1+'0 Úvod'!K20))^I45-1)/((1/(1+'0 Úvod'!K20))-1)))&lt;0,0,(I46+I47)*(1/(1+'0 Úvod'!K20))*(((1/(1+'0 Úvod'!K20))^I45-1)/((1/(1+'0 Úvod'!K20))-1)))</f>
        <v>265271208.96781883</v>
      </c>
      <c r="J48" s="160"/>
      <c r="K48" s="155"/>
      <c r="Q48" s="155"/>
    </row>
    <row r="49" spans="2:10" ht="15" thickBot="1" x14ac:dyDescent="0.35">
      <c r="G49" s="96"/>
      <c r="H49" s="159"/>
      <c r="I49" s="161"/>
    </row>
    <row r="50" spans="2:10" ht="14.25" thickBot="1" x14ac:dyDescent="0.35">
      <c r="B50" s="198" t="s">
        <v>166</v>
      </c>
      <c r="C50" s="199" t="str">
        <f>IF('0 Úvod'!$M$10="English",Slovnik!$D$119,Slovnik!$C$119)</f>
        <v>Diskont. zůstatková hodnota investic pro FA</v>
      </c>
      <c r="D50" s="2274">
        <f>D47*(1/(1+'0 Úvod'!J20)^('0 Úvod'!J18-1))</f>
        <v>12141898.068414606</v>
      </c>
      <c r="E50" s="2275"/>
      <c r="F50" s="162"/>
      <c r="G50" s="198" t="s">
        <v>167</v>
      </c>
      <c r="H50" s="199" t="str">
        <f>IF('0 Úvod'!$M$10="English",Slovnik!$D$121,Slovnik!$C$121)</f>
        <v>Diskont. zůstatková hodnota investic pro EA</v>
      </c>
      <c r="I50" s="2274">
        <f>I48*(1/(1+'0 Úvod'!K20)^('0 Úvod'!J18-1))</f>
        <v>64446664.309470341</v>
      </c>
      <c r="J50" s="2275"/>
    </row>
    <row r="51" spans="2:10" ht="15" thickBot="1" x14ac:dyDescent="0.35">
      <c r="B51" s="200"/>
      <c r="C51" s="201" t="str">
        <f>IF('0 Úvod'!$M$10="English",Slovnik!$D$120,Slovnik!$C$120)</f>
        <v>Diskontovaná zůstatková hodnota investic v EUR</v>
      </c>
      <c r="D51" s="2269">
        <f>D50/'0 Úvod'!N18</f>
        <v>473183.86860540166</v>
      </c>
      <c r="E51" s="2270"/>
      <c r="F51" s="163"/>
      <c r="G51" s="200"/>
      <c r="H51" s="201" t="str">
        <f>IF('0 Úvod'!$M$10="English",Slovnik!$D$120,Slovnik!$C$120)</f>
        <v>Diskontovaná zůstatková hodnota investic v EUR</v>
      </c>
      <c r="I51" s="2269">
        <f>I50/'0 Úvod'!N18</f>
        <v>2511561.3526683687</v>
      </c>
      <c r="J51" s="2270"/>
    </row>
    <row r="52" spans="2:10" ht="14.25" x14ac:dyDescent="0.3">
      <c r="G52" s="96"/>
      <c r="H52" s="159"/>
      <c r="I52" s="161"/>
    </row>
    <row r="53" spans="2:10" ht="14.25" x14ac:dyDescent="0.3">
      <c r="G53" s="96"/>
      <c r="H53" s="159"/>
      <c r="I53" s="161"/>
    </row>
    <row r="54" spans="2:10" ht="139.5" customHeight="1" x14ac:dyDescent="0.3">
      <c r="C54" s="2276" t="str">
        <f>IF('0 Úvod'!$M$10="English",Slovnik!$E$114,Slovnik!$E$113)</f>
        <v>* Při dělení nákladů stanovených v souhrnných rozpočtech se níže uvedené položky zařazují do uvedených kategorií:
- železniční přejezdy = železniční svršek,
- inženýrské sítě kabelové cizích vlastníků (telefony, datové sítě, veřejné elektrické rozvody, veř. osvětlení) = inženýrské sítě,
- ostatní technologická zařízení, např. výtahy, eskalátory, jeřáby, úpravna vody = silnoproudé rozvody a zařízení,
- přeložky a úpravy vodních toků, technické a biologické rekultivace, kácení = ochrana životního prostředí
- individuální protihluková opatření = ochrana životního prostředí,
- protihlukové stěny a protihlukové valy = ochrana životního prostředí,
- budovy objektů napájení = pozemní stavby,
- osvětlení, nízkonapěťové drážní rozvody, EOV, POV a napájení = silnoproudé rozvody a zařízení,
- všeobecné objekty = inženýrské sítě.</v>
      </c>
      <c r="D54" s="2276"/>
      <c r="E54" s="2276"/>
      <c r="F54" s="2276"/>
      <c r="G54" s="2276"/>
      <c r="H54" s="2276"/>
      <c r="I54" s="1827"/>
      <c r="J54" s="1827"/>
    </row>
    <row r="55" spans="2:10" x14ac:dyDescent="0.3">
      <c r="C55" s="1931" t="str">
        <f>IF('0 Úvod'!$M$10="English",Slovnik!$E$111,Slovnik!$E$110)</f>
        <v>** hrubé hydrotechnické konstrukce jsou např. železobetonová konstrukce jezu, přehrady, vodní elektrárny konstrukce jezu, přehrady, vodní elektrárny nebo zdymadla</v>
      </c>
      <c r="D55" s="1932"/>
      <c r="E55" s="1933"/>
      <c r="F55" s="1933"/>
      <c r="G55" s="1934"/>
      <c r="H55" s="1934"/>
    </row>
    <row r="56" spans="2:10" x14ac:dyDescent="0.3">
      <c r="C56" s="1935" t="str">
        <f>IF('0 Úvod'!$M$10="English",Slovnik!$D$110,Slovnik!$C$110)</f>
        <v>*** např. vrata zdymadla, turbína a jiné</v>
      </c>
      <c r="D56" s="1932"/>
      <c r="E56" s="1933"/>
      <c r="F56" s="1933"/>
      <c r="G56" s="1934"/>
      <c r="H56" s="1934"/>
    </row>
    <row r="57" spans="2:10" x14ac:dyDescent="0.3">
      <c r="C57" s="1931" t="str">
        <f>IF('0 Úvod'!$M$10="English",Slovnik!$D$742,Slovnik!$C$742)</f>
        <v>**** obvyklá hodnota, přesnou životnost může zpracovatel stanovit na základě předpokládaného počtu provozních hodin (motohodin) do vyřazení stroje nebo jeho generální opravy</v>
      </c>
      <c r="D57" s="1932"/>
      <c r="E57" s="1933"/>
      <c r="F57" s="1933"/>
      <c r="G57" s="1934"/>
      <c r="H57" s="1934"/>
    </row>
    <row r="78" spans="5:6" ht="14.25" x14ac:dyDescent="0.3">
      <c r="E78" s="1936"/>
      <c r="F78" s="1936"/>
    </row>
    <row r="79" spans="5:6" ht="14.25" x14ac:dyDescent="0.3">
      <c r="E79" s="97"/>
      <c r="F79" s="97"/>
    </row>
  </sheetData>
  <sheetProtection algorithmName="SHA-512" hashValue="DUFgIx/QEnord8XTXt90yRMLtb88IAS/VRvbzfeedh6e0wq9QD0L0bULWWT3CsF9B2PzpR15nB5f+JeGEaSo+g==" saltValue="uiYadf3UyvpH0l3+Ud5Qhw==" spinCount="100000" sheet="1" formatCells="0" formatColumns="0" formatRows="0" insertColumns="0" insertRows="0" insertHyperlinks="0" deleteColumns="0" deleteRows="0" sort="0" autoFilter="0" pivotTables="0"/>
  <mergeCells count="14">
    <mergeCell ref="C54:H54"/>
    <mergeCell ref="B39:D39"/>
    <mergeCell ref="D50:E50"/>
    <mergeCell ref="D51:E51"/>
    <mergeCell ref="B3:B15"/>
    <mergeCell ref="B16:B24"/>
    <mergeCell ref="B25:B35"/>
    <mergeCell ref="B36:B37"/>
    <mergeCell ref="G36:G37"/>
    <mergeCell ref="I51:J51"/>
    <mergeCell ref="G3:G15"/>
    <mergeCell ref="G16:G24"/>
    <mergeCell ref="G25:G35"/>
    <mergeCell ref="I50:J50"/>
  </mergeCells>
  <phoneticPr fontId="0" type="noConversion"/>
  <pageMargins left="0.39370078740157483" right="0.35433070866141736" top="0.98425196850393704" bottom="0.78740157480314965" header="0.39370078740157483" footer="0.39370078740157483"/>
  <pageSetup paperSize="9" scale="64" orientation="landscape" r:id="rId1"/>
  <headerFooter alignWithMargins="0">
    <oddFooter>&amp;L&amp;A&amp;C&amp;D</oddFooter>
  </headerFooter>
  <ignoredErrors>
    <ignoredError sqref="C55 C57" unlockedFormula="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8">
    <pageSetUpPr fitToPage="1"/>
  </sheetPr>
  <dimension ref="A1:AI222"/>
  <sheetViews>
    <sheetView defaultGridColor="0" colorId="23" zoomScale="80" zoomScaleNormal="80" workbookViewId="0"/>
  </sheetViews>
  <sheetFormatPr defaultColWidth="9.140625" defaultRowHeight="13.5" x14ac:dyDescent="0.3"/>
  <cols>
    <col min="1" max="1" width="2.7109375" style="25" customWidth="1"/>
    <col min="2" max="2" width="6.7109375" style="25" customWidth="1"/>
    <col min="3" max="3" width="50.5703125" style="25" customWidth="1"/>
    <col min="4" max="4" width="15" style="25" customWidth="1"/>
    <col min="5" max="5" width="13.7109375" style="25" customWidth="1"/>
    <col min="6" max="15" width="10.7109375" style="25" customWidth="1"/>
    <col min="16" max="21" width="10.5703125" style="25" customWidth="1"/>
    <col min="22" max="22" width="11.5703125" style="25" customWidth="1"/>
    <col min="23" max="29" width="10.5703125" style="25" customWidth="1"/>
    <col min="30" max="34" width="8.7109375" style="25" bestFit="1" customWidth="1"/>
    <col min="35" max="35" width="10.42578125" style="25" bestFit="1" customWidth="1"/>
    <col min="36" max="16384" width="9.140625" style="25"/>
  </cols>
  <sheetData>
    <row r="1" spans="1:35" ht="14.25" thickBot="1" x14ac:dyDescent="0.35">
      <c r="E1" s="208"/>
    </row>
    <row r="2" spans="1:35" ht="14.25" x14ac:dyDescent="0.3">
      <c r="A2" s="207"/>
      <c r="B2" s="249" t="s">
        <v>30</v>
      </c>
      <c r="C2" s="209" t="str">
        <f>IF('0 Úvod'!$M$10="English",Slovnik!D123,Slovnik!C123)</f>
        <v>Celkové provozní náklady (CZK)</v>
      </c>
      <c r="D2" s="354"/>
      <c r="E2" s="2321">
        <f>'1 CIN'!G3</f>
        <v>2021</v>
      </c>
      <c r="F2" s="2323">
        <f t="shared" ref="F2:S2" si="0">E2+1</f>
        <v>2022</v>
      </c>
      <c r="G2" s="2323">
        <f t="shared" si="0"/>
        <v>2023</v>
      </c>
      <c r="H2" s="2323">
        <f t="shared" si="0"/>
        <v>2024</v>
      </c>
      <c r="I2" s="2323">
        <f t="shared" si="0"/>
        <v>2025</v>
      </c>
      <c r="J2" s="2323">
        <f t="shared" si="0"/>
        <v>2026</v>
      </c>
      <c r="K2" s="2323">
        <f t="shared" si="0"/>
        <v>2027</v>
      </c>
      <c r="L2" s="2323">
        <f t="shared" si="0"/>
        <v>2028</v>
      </c>
      <c r="M2" s="2323">
        <f t="shared" si="0"/>
        <v>2029</v>
      </c>
      <c r="N2" s="2323">
        <f t="shared" si="0"/>
        <v>2030</v>
      </c>
      <c r="O2" s="2323">
        <f t="shared" si="0"/>
        <v>2031</v>
      </c>
      <c r="P2" s="2323">
        <f t="shared" si="0"/>
        <v>2032</v>
      </c>
      <c r="Q2" s="2323">
        <f t="shared" si="0"/>
        <v>2033</v>
      </c>
      <c r="R2" s="2323">
        <f t="shared" si="0"/>
        <v>2034</v>
      </c>
      <c r="S2" s="2329">
        <f t="shared" si="0"/>
        <v>2035</v>
      </c>
    </row>
    <row r="3" spans="1:35" ht="15" thickBot="1" x14ac:dyDescent="0.35">
      <c r="A3" s="207"/>
      <c r="B3" s="210" t="s">
        <v>23</v>
      </c>
      <c r="C3" s="211" t="str">
        <f>IF('0 Úvod'!$M$10="English",Slovnik!D124,Slovnik!C124)</f>
        <v>Scénář s projektem</v>
      </c>
      <c r="D3" s="212" t="str">
        <f>IF('0 Úvod'!$M$10="English",Slovnik!$D$133,Slovnik!$C$133)</f>
        <v>Celkem</v>
      </c>
      <c r="E3" s="2322"/>
      <c r="F3" s="2324"/>
      <c r="G3" s="2324"/>
      <c r="H3" s="2324"/>
      <c r="I3" s="2324"/>
      <c r="J3" s="2324"/>
      <c r="K3" s="2324"/>
      <c r="L3" s="2324"/>
      <c r="M3" s="2324"/>
      <c r="N3" s="2324"/>
      <c r="O3" s="2324"/>
      <c r="P3" s="2324"/>
      <c r="Q3" s="2324"/>
      <c r="R3" s="2324"/>
      <c r="S3" s="2330"/>
    </row>
    <row r="4" spans="1:35" ht="14.25" x14ac:dyDescent="0.3">
      <c r="A4" s="207"/>
      <c r="B4" s="358"/>
      <c r="C4" s="59" t="str">
        <f>IF('0 Úvod'!$M$10="English",Slovnik!D125,Slovnik!C125)</f>
        <v>Náklady na údržbu a opravy - ŽELEZNIČNÍ infrastruktura</v>
      </c>
      <c r="D4" s="378">
        <f t="shared" ref="D4:D10" si="1">SUM(E4:S4,E17:S17)</f>
        <v>149681082.75900882</v>
      </c>
      <c r="E4" s="29">
        <v>5704048.7464758754</v>
      </c>
      <c r="F4" s="29">
        <v>5724118.1568749212</v>
      </c>
      <c r="G4" s="29">
        <v>4673155.3992505278</v>
      </c>
      <c r="H4" s="29">
        <v>4691905.6706869146</v>
      </c>
      <c r="I4" s="29">
        <v>4710749.6934804833</v>
      </c>
      <c r="J4" s="29">
        <v>4729687.9363880195</v>
      </c>
      <c r="K4" s="29">
        <v>4748720.8705100939</v>
      </c>
      <c r="L4" s="29">
        <v>4767848.9693027791</v>
      </c>
      <c r="M4" s="29">
        <v>4787072.7085894262</v>
      </c>
      <c r="N4" s="29">
        <v>4806392.5665725069</v>
      </c>
      <c r="O4" s="29">
        <v>4825809.023845504</v>
      </c>
      <c r="P4" s="29">
        <v>4845322.5634048656</v>
      </c>
      <c r="Q4" s="29">
        <v>4864933.6706620241</v>
      </c>
      <c r="R4" s="29">
        <v>4884642.8334554685</v>
      </c>
      <c r="S4" s="29">
        <v>4904450.5420628795</v>
      </c>
      <c r="T4" s="1938"/>
    </row>
    <row r="5" spans="1:35" ht="14.25" x14ac:dyDescent="0.3">
      <c r="A5" s="207"/>
      <c r="B5" s="251"/>
      <c r="C5" s="74" t="str">
        <f>IF('0 Úvod'!$M$10="English",Slovnik!D126,Slovnik!C126)</f>
        <v>Reinvestice (obnova) - ŽELEZNIČNÍ infrastruktura</v>
      </c>
      <c r="D5" s="379">
        <f t="shared" si="1"/>
        <v>515476773.02823472</v>
      </c>
      <c r="E5" s="29"/>
      <c r="F5" s="29"/>
      <c r="G5" s="29"/>
      <c r="H5" s="29"/>
      <c r="I5" s="29"/>
      <c r="J5" s="29"/>
      <c r="K5" s="29"/>
      <c r="L5" s="29"/>
      <c r="M5" s="29"/>
      <c r="N5" s="29"/>
      <c r="O5" s="29"/>
      <c r="P5" s="29"/>
      <c r="Q5" s="29"/>
      <c r="R5" s="29"/>
      <c r="S5" s="29"/>
      <c r="T5" s="1938"/>
    </row>
    <row r="6" spans="1:35" ht="14.25" x14ac:dyDescent="0.3">
      <c r="A6" s="207"/>
      <c r="B6" s="251"/>
      <c r="C6" s="254" t="str">
        <f>IF('0 Úvod'!$M$10="English",Slovnik!D127,Slovnik!C127)</f>
        <v>Náklady na řízení provozu - ŽELEZNIČNÍ doprava</v>
      </c>
      <c r="D6" s="379">
        <f t="shared" si="1"/>
        <v>199279175.49164414</v>
      </c>
      <c r="E6" s="360">
        <f>IF(E2&lt;=('0 Úvod'!$G$18+'0 Úvod'!$J$18-1),SUMPRODUCT(E108:E120,E142:E154)+E156,0)</f>
        <v>4693012.4969425723</v>
      </c>
      <c r="F6" s="360">
        <f>IF(F2&lt;=('0 Úvod'!$G$18+'0 Úvod'!$J$18-1),SUMPRODUCT(F108:F120,F142:F154)+F156,0)</f>
        <v>4800482.4831225565</v>
      </c>
      <c r="G6" s="360">
        <f>IF(G2&lt;=('0 Úvod'!$G$18+'0 Úvod'!$J$18-1),SUMPRODUCT(G108:G120,G142:G154)+G156,0)</f>
        <v>4910413.5319860633</v>
      </c>
      <c r="H6" s="360">
        <f>IF(H2&lt;=('0 Úvod'!$G$18+'0 Úvod'!$J$18-1),SUMPRODUCT(H108:H120,H142:H154)+H156,0)</f>
        <v>5022862.0018685432</v>
      </c>
      <c r="I6" s="360">
        <f>IF(I2&lt;=('0 Úvod'!$G$18+'0 Úvod'!$J$18-1),SUMPRODUCT(I108:I120,I142:I154)+I156,0)</f>
        <v>5137885.5417113323</v>
      </c>
      <c r="J6" s="360">
        <f>IF(J2&lt;=('0 Úvod'!$G$18+'0 Úvod'!$J$18-1),SUMPRODUCT(J108:J120,J142:J154)+J156,0)</f>
        <v>5255543.1206165217</v>
      </c>
      <c r="K6" s="360">
        <f>IF(K2&lt;=('0 Úvod'!$G$18+'0 Úvod'!$J$18-1),SUMPRODUCT(K108:K120,K142:K154)+K156,0)</f>
        <v>5375895.0580786392</v>
      </c>
      <c r="L6" s="360">
        <f>IF(L2&lt;=('0 Úvod'!$G$18+'0 Úvod'!$J$18-1),SUMPRODUCT(L108:L120,L142:L154)+L156,0)</f>
        <v>5499003.0549086407</v>
      </c>
      <c r="M6" s="360">
        <f>IF(M2&lt;=('0 Úvod'!$G$18+'0 Úvod'!$J$18-1),SUMPRODUCT(M108:M120,M142:M154)+M156,0)</f>
        <v>5624930.2248660484</v>
      </c>
      <c r="N6" s="360">
        <f>IF(N2&lt;=('0 Úvod'!$G$18+'0 Úvod'!$J$18-1),SUMPRODUCT(N108:N120,N142:N154)+N156,0)</f>
        <v>5753741.1270154798</v>
      </c>
      <c r="O6" s="360">
        <f>IF(O2&lt;=('0 Úvod'!$G$18+'0 Úvod'!$J$18-1),SUMPRODUCT(O108:O120,O142:O154)+O156,0)</f>
        <v>5885501.7988241343</v>
      </c>
      <c r="P6" s="360">
        <f>IF(P2&lt;=('0 Úvod'!$G$18+'0 Úvod'!$J$18-1),SUMPRODUCT(P108:P120,P142:P154)+P156,0)</f>
        <v>6020279.7900172062</v>
      </c>
      <c r="Q6" s="360">
        <f>IF(Q2&lt;=('0 Úvod'!$G$18+'0 Úvod'!$J$18-1),SUMPRODUCT(Q108:Q120,Q142:Q154)+Q156,0)</f>
        <v>6158144.1972086001</v>
      </c>
      <c r="R6" s="360">
        <f>IF(R2&lt;=('0 Úvod'!$G$18+'0 Úvod'!$J$18-1),SUMPRODUCT(R108:R120,R142:R154)+R156,0)</f>
        <v>6299165.6993246758</v>
      </c>
      <c r="S6" s="360">
        <f>IF(S2&lt;=('0 Úvod'!$G$18+'0 Úvod'!$J$18-1),SUMPRODUCT(S108:S120,S142:S154)+S156,0)</f>
        <v>6443416.5938392105</v>
      </c>
      <c r="T6" s="1939"/>
      <c r="U6" s="353"/>
      <c r="V6" s="353"/>
    </row>
    <row r="7" spans="1:35" ht="14.25" x14ac:dyDescent="0.3">
      <c r="A7" s="207"/>
      <c r="B7" s="251"/>
      <c r="C7" s="59" t="str">
        <f>C61</f>
        <v>Náklady na běžnou údržbu - SILNIČNÍ infrastruktura</v>
      </c>
      <c r="D7" s="379">
        <f t="shared" si="1"/>
        <v>0</v>
      </c>
      <c r="E7" s="29"/>
      <c r="F7" s="29"/>
      <c r="G7" s="29"/>
      <c r="H7" s="29"/>
      <c r="I7" s="29"/>
      <c r="J7" s="29"/>
      <c r="K7" s="29"/>
      <c r="L7" s="29"/>
      <c r="M7" s="29"/>
      <c r="N7" s="29"/>
      <c r="O7" s="29"/>
      <c r="P7" s="29"/>
      <c r="Q7" s="29"/>
      <c r="R7" s="29"/>
      <c r="S7" s="29"/>
      <c r="T7" s="1939"/>
      <c r="U7" s="353"/>
      <c r="V7" s="353"/>
    </row>
    <row r="8" spans="1:35" ht="14.25" x14ac:dyDescent="0.3">
      <c r="A8" s="207"/>
      <c r="B8" s="251"/>
      <c r="C8" s="59" t="str">
        <f>C62</f>
        <v>Náklady na opravy - SILNIČNÍ infrastruktura</v>
      </c>
      <c r="D8" s="379">
        <f t="shared" si="1"/>
        <v>0</v>
      </c>
      <c r="E8" s="29"/>
      <c r="F8" s="29"/>
      <c r="G8" s="29"/>
      <c r="H8" s="29"/>
      <c r="I8" s="29"/>
      <c r="J8" s="29"/>
      <c r="K8" s="29"/>
      <c r="L8" s="29"/>
      <c r="M8" s="29"/>
      <c r="N8" s="29"/>
      <c r="O8" s="29"/>
      <c r="P8" s="29"/>
      <c r="Q8" s="29"/>
      <c r="R8" s="29"/>
      <c r="S8" s="29"/>
      <c r="T8" s="1939"/>
      <c r="U8" s="353"/>
      <c r="V8" s="353"/>
    </row>
    <row r="9" spans="1:35" ht="14.25" x14ac:dyDescent="0.3">
      <c r="A9" s="207"/>
      <c r="B9" s="251"/>
      <c r="C9" s="59" t="str">
        <f>IF('0 Úvod'!$M$10="English",Slovnik!D130,Slovnik!C130)</f>
        <v>Náklady na běžnou údržbu VODNÍ infrastruktury</v>
      </c>
      <c r="D9" s="379">
        <f t="shared" si="1"/>
        <v>0</v>
      </c>
      <c r="E9" s="29"/>
      <c r="F9" s="29"/>
      <c r="G9" s="29"/>
      <c r="H9" s="29"/>
      <c r="I9" s="29"/>
      <c r="J9" s="29"/>
      <c r="K9" s="29"/>
      <c r="L9" s="29"/>
      <c r="M9" s="29"/>
      <c r="N9" s="29"/>
      <c r="O9" s="29"/>
      <c r="P9" s="29"/>
      <c r="Q9" s="29"/>
      <c r="R9" s="29"/>
      <c r="S9" s="29"/>
      <c r="T9" s="1939"/>
      <c r="U9" s="353"/>
      <c r="V9" s="353"/>
    </row>
    <row r="10" spans="1:35" ht="14.25" x14ac:dyDescent="0.3">
      <c r="A10" s="207"/>
      <c r="B10" s="251"/>
      <c r="C10" s="59" t="str">
        <f>IF('0 Úvod'!$M$10="English",Slovnik!D131,Slovnik!C131)</f>
        <v>Náklady na opravy VODNÍ infrastruktury</v>
      </c>
      <c r="D10" s="379">
        <f t="shared" si="1"/>
        <v>0</v>
      </c>
      <c r="E10" s="29"/>
      <c r="F10" s="29"/>
      <c r="G10" s="29"/>
      <c r="H10" s="29"/>
      <c r="I10" s="29"/>
      <c r="J10" s="29"/>
      <c r="K10" s="29"/>
      <c r="L10" s="29"/>
      <c r="M10" s="29"/>
      <c r="N10" s="29"/>
      <c r="O10" s="29"/>
      <c r="P10" s="29"/>
      <c r="Q10" s="29"/>
      <c r="R10" s="29"/>
      <c r="S10" s="29"/>
      <c r="T10" s="1939"/>
      <c r="U10" s="353"/>
      <c r="V10" s="353"/>
    </row>
    <row r="11" spans="1:35" ht="14.25" x14ac:dyDescent="0.3">
      <c r="A11" s="207"/>
      <c r="B11" s="251"/>
      <c r="C11" s="59" t="str">
        <f>IF('0 Úvod'!$M$10="English",Slovnik!D731,Slovnik!C731)</f>
        <v>Náklady na běžnou údržbu OSTATNÍ infrastruktury</v>
      </c>
      <c r="D11" s="379">
        <f t="shared" ref="D11:D12" si="2">SUM(E11:S11,E24:S24)</f>
        <v>0</v>
      </c>
      <c r="E11" s="29"/>
      <c r="F11" s="29"/>
      <c r="G11" s="29"/>
      <c r="H11" s="29"/>
      <c r="I11" s="29"/>
      <c r="J11" s="29"/>
      <c r="K11" s="29"/>
      <c r="L11" s="29"/>
      <c r="M11" s="29"/>
      <c r="N11" s="29"/>
      <c r="O11" s="29"/>
      <c r="P11" s="29"/>
      <c r="Q11" s="29"/>
      <c r="R11" s="29"/>
      <c r="S11" s="29"/>
      <c r="T11" s="1939"/>
      <c r="U11" s="353"/>
      <c r="V11" s="353"/>
    </row>
    <row r="12" spans="1:35" ht="14.25" x14ac:dyDescent="0.3">
      <c r="A12" s="207"/>
      <c r="B12" s="251"/>
      <c r="C12" s="59" t="str">
        <f>IF('0 Úvod'!$M$10="English",Slovnik!D732,Slovnik!C732)</f>
        <v>Náklady na opravy OSTATNÍ infrastruktury</v>
      </c>
      <c r="D12" s="379">
        <f t="shared" si="2"/>
        <v>0</v>
      </c>
      <c r="E12" s="29"/>
      <c r="F12" s="29"/>
      <c r="G12" s="29"/>
      <c r="H12" s="29"/>
      <c r="I12" s="29"/>
      <c r="J12" s="29"/>
      <c r="K12" s="29"/>
      <c r="L12" s="29"/>
      <c r="M12" s="29"/>
      <c r="N12" s="29"/>
      <c r="O12" s="29"/>
      <c r="P12" s="29"/>
      <c r="Q12" s="29"/>
      <c r="R12" s="29"/>
      <c r="S12" s="29"/>
      <c r="T12" s="1939"/>
      <c r="U12" s="353"/>
      <c r="V12" s="353"/>
    </row>
    <row r="13" spans="1:35" ht="15" thickBot="1" x14ac:dyDescent="0.35">
      <c r="A13" s="207"/>
      <c r="B13" s="355"/>
      <c r="C13" s="356" t="str">
        <f>IF('0 Úvod'!$M$10="English",Slovnik!D132,Slovnik!C132)</f>
        <v>Celkové PN infrastruktury</v>
      </c>
      <c r="D13" s="357">
        <f t="shared" ref="D13" si="3">SUM(E13:S13,E26:S26)</f>
        <v>864437031.27888775</v>
      </c>
      <c r="E13" s="866">
        <f>SUM(E4:E12)</f>
        <v>10397061.243418448</v>
      </c>
      <c r="F13" s="1940">
        <f t="shared" ref="F13:S13" si="4">SUM(F4:F12)</f>
        <v>10524600.639997479</v>
      </c>
      <c r="G13" s="1940">
        <f t="shared" si="4"/>
        <v>9583568.9312365912</v>
      </c>
      <c r="H13" s="1940">
        <f t="shared" si="4"/>
        <v>9714767.6725554578</v>
      </c>
      <c r="I13" s="1940">
        <f t="shared" si="4"/>
        <v>9848635.2351918146</v>
      </c>
      <c r="J13" s="1940">
        <f t="shared" si="4"/>
        <v>9985231.0570045412</v>
      </c>
      <c r="K13" s="1940">
        <f t="shared" si="4"/>
        <v>10124615.928588733</v>
      </c>
      <c r="L13" s="1940">
        <f t="shared" si="4"/>
        <v>10266852.02421142</v>
      </c>
      <c r="M13" s="1940">
        <f t="shared" si="4"/>
        <v>10412002.933455475</v>
      </c>
      <c r="N13" s="1940">
        <f t="shared" si="4"/>
        <v>10560133.693587987</v>
      </c>
      <c r="O13" s="1940">
        <f t="shared" si="4"/>
        <v>10711310.822669638</v>
      </c>
      <c r="P13" s="1940">
        <f t="shared" si="4"/>
        <v>10865602.353422072</v>
      </c>
      <c r="Q13" s="1940">
        <f t="shared" si="4"/>
        <v>11023077.867870625</v>
      </c>
      <c r="R13" s="1940">
        <f t="shared" si="4"/>
        <v>11183808.532780144</v>
      </c>
      <c r="S13" s="1941">
        <f t="shared" si="4"/>
        <v>11347867.13590209</v>
      </c>
      <c r="T13" s="353"/>
      <c r="U13" s="353"/>
      <c r="V13" s="353"/>
    </row>
    <row r="14" spans="1:35" ht="14.25" thickBot="1" x14ac:dyDescent="0.35">
      <c r="A14" s="207"/>
      <c r="B14" s="213"/>
      <c r="C14" s="207"/>
      <c r="D14" s="208"/>
      <c r="E14" s="215"/>
      <c r="F14" s="215"/>
      <c r="G14" s="215"/>
      <c r="H14" s="215"/>
      <c r="I14" s="215"/>
      <c r="J14" s="215"/>
      <c r="K14" s="215"/>
      <c r="L14" s="215"/>
      <c r="M14" s="215"/>
      <c r="N14" s="215"/>
      <c r="O14" s="215"/>
      <c r="P14" s="215"/>
      <c r="Q14" s="215"/>
      <c r="R14" s="215"/>
      <c r="S14" s="215"/>
    </row>
    <row r="15" spans="1:35" ht="14.25" x14ac:dyDescent="0.3">
      <c r="A15" s="207"/>
      <c r="B15" s="249" t="s">
        <v>30</v>
      </c>
      <c r="C15" s="209" t="str">
        <f>IF('0 Úvod'!$M$10="English",Slovnik!D123,Slovnik!C123)</f>
        <v>Celkové provozní náklady (CZK)</v>
      </c>
      <c r="D15" s="362"/>
      <c r="E15" s="2321">
        <f>S2+1</f>
        <v>2036</v>
      </c>
      <c r="F15" s="2323">
        <f t="shared" ref="F15:S15" si="5">E15+1</f>
        <v>2037</v>
      </c>
      <c r="G15" s="2323">
        <f t="shared" si="5"/>
        <v>2038</v>
      </c>
      <c r="H15" s="2323">
        <f t="shared" si="5"/>
        <v>2039</v>
      </c>
      <c r="I15" s="2323">
        <f t="shared" si="5"/>
        <v>2040</v>
      </c>
      <c r="J15" s="2323">
        <f t="shared" si="5"/>
        <v>2041</v>
      </c>
      <c r="K15" s="2323">
        <f t="shared" si="5"/>
        <v>2042</v>
      </c>
      <c r="L15" s="2323">
        <f t="shared" si="5"/>
        <v>2043</v>
      </c>
      <c r="M15" s="2323">
        <f t="shared" si="5"/>
        <v>2044</v>
      </c>
      <c r="N15" s="2323">
        <f t="shared" si="5"/>
        <v>2045</v>
      </c>
      <c r="O15" s="2323">
        <f t="shared" si="5"/>
        <v>2046</v>
      </c>
      <c r="P15" s="2323">
        <f t="shared" si="5"/>
        <v>2047</v>
      </c>
      <c r="Q15" s="2323">
        <f t="shared" si="5"/>
        <v>2048</v>
      </c>
      <c r="R15" s="2323">
        <f t="shared" si="5"/>
        <v>2049</v>
      </c>
      <c r="S15" s="2329">
        <f t="shared" si="5"/>
        <v>2050</v>
      </c>
    </row>
    <row r="16" spans="1:35" s="207" customFormat="1" ht="15" thickBot="1" x14ac:dyDescent="0.35">
      <c r="B16" s="210" t="s">
        <v>24</v>
      </c>
      <c r="C16" s="211" t="str">
        <f>IF('0 Úvod'!$M$10="English",Slovnik!D124,Slovnik!C124)</f>
        <v>Scénář s projektem</v>
      </c>
      <c r="D16" s="363"/>
      <c r="E16" s="2322"/>
      <c r="F16" s="2324"/>
      <c r="G16" s="2324"/>
      <c r="H16" s="2324"/>
      <c r="I16" s="2324"/>
      <c r="J16" s="2324"/>
      <c r="K16" s="2324"/>
      <c r="L16" s="2324"/>
      <c r="M16" s="2324"/>
      <c r="N16" s="2324"/>
      <c r="O16" s="2324"/>
      <c r="P16" s="2324"/>
      <c r="Q16" s="2324"/>
      <c r="R16" s="2324"/>
      <c r="S16" s="2330"/>
      <c r="T16" s="25"/>
      <c r="U16" s="25"/>
      <c r="V16" s="25"/>
      <c r="W16" s="25"/>
      <c r="X16" s="25"/>
      <c r="Y16" s="25"/>
      <c r="Z16" s="25"/>
      <c r="AA16" s="25"/>
      <c r="AB16" s="25"/>
      <c r="AC16" s="25"/>
      <c r="AD16" s="25"/>
      <c r="AE16" s="25"/>
      <c r="AF16" s="25"/>
      <c r="AG16" s="25"/>
      <c r="AH16" s="25"/>
      <c r="AI16" s="25"/>
    </row>
    <row r="17" spans="1:35" s="207" customFormat="1" ht="14.25" x14ac:dyDescent="0.3">
      <c r="B17" s="402"/>
      <c r="C17" s="59" t="str">
        <f>IF('0 Úvod'!$M$10="English",Slovnik!D125,Slovnik!C125)</f>
        <v>Náklady na údržbu a opravy - ŽELEZNIČNÍ infrastruktura</v>
      </c>
      <c r="D17" s="385"/>
      <c r="E17" s="29">
        <v>4924357.2892133277</v>
      </c>
      <c r="F17" s="29">
        <v>4944363.5700995289</v>
      </c>
      <c r="G17" s="29">
        <v>4964469.882390161</v>
      </c>
      <c r="H17" s="29">
        <v>4984676.7262422452</v>
      </c>
      <c r="I17" s="29">
        <v>5004984.6043135915</v>
      </c>
      <c r="J17" s="29">
        <v>5025394.0217752922</v>
      </c>
      <c r="K17" s="29">
        <v>5045905.4863243029</v>
      </c>
      <c r="L17" s="29">
        <v>5066519.5081960596</v>
      </c>
      <c r="M17" s="29">
        <v>5087236.6001771735</v>
      </c>
      <c r="N17" s="29">
        <v>5108057.2776181931</v>
      </c>
      <c r="O17" s="29">
        <v>5128982.0584464185</v>
      </c>
      <c r="P17" s="29">
        <v>5150011.4631787846</v>
      </c>
      <c r="Q17" s="29">
        <v>5171146.0149348127</v>
      </c>
      <c r="R17" s="29">
        <v>5192386.2394496212</v>
      </c>
      <c r="S17" s="29">
        <v>5213732.6650870023</v>
      </c>
      <c r="T17" s="1938"/>
      <c r="U17" s="25"/>
      <c r="V17" s="25"/>
      <c r="W17" s="25"/>
      <c r="X17" s="25"/>
      <c r="Y17" s="25"/>
      <c r="Z17" s="25"/>
      <c r="AA17" s="25"/>
      <c r="AB17" s="25"/>
      <c r="AC17" s="25"/>
      <c r="AD17" s="25"/>
      <c r="AE17" s="25"/>
      <c r="AF17" s="25"/>
      <c r="AG17" s="25"/>
      <c r="AH17" s="25"/>
      <c r="AI17" s="25"/>
    </row>
    <row r="18" spans="1:35" s="207" customFormat="1" ht="14.25" x14ac:dyDescent="0.3">
      <c r="B18" s="383"/>
      <c r="C18" s="74" t="str">
        <f>IF('0 Úvod'!$M$10="English",Slovnik!D126,Slovnik!C126)</f>
        <v>Reinvestice (obnova) - ŽELEZNIČNÍ infrastruktura</v>
      </c>
      <c r="D18" s="386"/>
      <c r="E18" s="29">
        <v>0</v>
      </c>
      <c r="F18" s="29">
        <v>0</v>
      </c>
      <c r="G18" s="29">
        <v>0</v>
      </c>
      <c r="H18" s="29">
        <v>0</v>
      </c>
      <c r="I18" s="29">
        <v>0</v>
      </c>
      <c r="J18" s="29">
        <v>0</v>
      </c>
      <c r="K18" s="29">
        <v>0</v>
      </c>
      <c r="L18" s="29">
        <v>7335038.0257286616</v>
      </c>
      <c r="M18" s="29">
        <v>0</v>
      </c>
      <c r="N18" s="29">
        <v>0</v>
      </c>
      <c r="O18" s="29">
        <v>0</v>
      </c>
      <c r="P18" s="29">
        <v>0</v>
      </c>
      <c r="Q18" s="29">
        <v>369783269.20571339</v>
      </c>
      <c r="R18" s="29">
        <v>0</v>
      </c>
      <c r="S18" s="29">
        <v>138358465.79679269</v>
      </c>
      <c r="T18" s="1938"/>
      <c r="U18" s="25"/>
      <c r="V18" s="25"/>
      <c r="W18" s="25"/>
      <c r="X18" s="25"/>
      <c r="Y18" s="25"/>
      <c r="Z18" s="25"/>
      <c r="AA18" s="25"/>
      <c r="AB18" s="25"/>
      <c r="AC18" s="25"/>
      <c r="AD18" s="25"/>
      <c r="AE18" s="25"/>
      <c r="AF18" s="25"/>
      <c r="AG18" s="25"/>
      <c r="AH18" s="25"/>
      <c r="AI18" s="25"/>
    </row>
    <row r="19" spans="1:35" ht="14.25" x14ac:dyDescent="0.3">
      <c r="A19" s="207"/>
      <c r="B19" s="383"/>
      <c r="C19" s="254" t="str">
        <f>IF('0 Úvod'!$M$10="English",Slovnik!D127,Slovnik!C127)</f>
        <v>Náklady na řízení provozu - ŽELEZNIČNÍ doprava</v>
      </c>
      <c r="D19" s="386"/>
      <c r="E19" s="360">
        <f>IF(E15&lt;=('0 Úvod'!$G$18+'0 Úvod'!$J$18-1),SUMPRODUCT(E125:E137,E160:E172)+E174,0)</f>
        <v>6590970.8338381276</v>
      </c>
      <c r="F19" s="360">
        <f>IF(F15&lt;=('0 Úvod'!$G$18+'0 Úvod'!$J$18-1),SUMPRODUCT(F125:F137,F160:F172)+F174,0)</f>
        <v>6741904.0659330208</v>
      </c>
      <c r="G19" s="360">
        <f>IF(G15&lt;=('0 Úvod'!$G$18+'0 Úvod'!$J$18-1),SUMPRODUCT(G125:G137,G160:G172)+G174,0)</f>
        <v>6896293.6690428862</v>
      </c>
      <c r="H19" s="360">
        <f>IF(H15&lt;=('0 Úvod'!$G$18+'0 Úvod'!$J$18-1),SUMPRODUCT(H125:H137,H160:H172)+H174,0)</f>
        <v>7054218.7940639677</v>
      </c>
      <c r="I19" s="360">
        <f>IF(I15&lt;=('0 Úvod'!$G$18+'0 Úvod'!$J$18-1),SUMPRODUCT(I125:I137,I160:I172)+I174,0)</f>
        <v>7215760.4044480333</v>
      </c>
      <c r="J19" s="360">
        <f>IF(J15&lt;=('0 Úvod'!$G$18+'0 Úvod'!$J$18-1),SUMPRODUCT(J125:J137,J160:J172)+J174,0)</f>
        <v>7381001.3177098921</v>
      </c>
      <c r="K19" s="360">
        <f>IF(K15&lt;=('0 Úvod'!$G$18+'0 Úvod'!$J$18-1),SUMPRODUCT(K125:K137,K160:K172)+K174,0)</f>
        <v>7550026.2478854479</v>
      </c>
      <c r="L19" s="360">
        <f>IF(L15&lt;=('0 Úvod'!$G$18+'0 Úvod'!$J$18-1),SUMPRODUCT(L125:L137,L160:L172)+L174,0)</f>
        <v>7722921.8489620239</v>
      </c>
      <c r="M19" s="360">
        <f>IF(M15&lt;=('0 Úvod'!$G$18+'0 Úvod'!$J$18-1),SUMPRODUCT(M125:M137,M160:M172)+M174,0)</f>
        <v>7899776.7593032531</v>
      </c>
      <c r="N19" s="360">
        <f>IF(N15&lt;=('0 Úvod'!$G$18+'0 Úvod'!$J$18-1),SUMPRODUCT(N125:N137,N160:N172)+N174,0)</f>
        <v>8080681.6470912965</v>
      </c>
      <c r="O19" s="360">
        <f>IF(O15&lt;=('0 Úvod'!$G$18+'0 Úvod'!$J$18-1),SUMPRODUCT(O125:O137,O160:O172)+O174,0)</f>
        <v>8265729.2568096872</v>
      </c>
      <c r="P19" s="360">
        <f>IF(P15&lt;=('0 Úvod'!$G$18+'0 Úvod'!$J$18-1),SUMPRODUCT(P125:P137,P160:P172)+P174,0)</f>
        <v>8455014.4567906279</v>
      </c>
      <c r="Q19" s="360">
        <f>IF(Q15&lt;=('0 Úvod'!$G$18+'0 Úvod'!$J$18-1),SUMPRODUCT(Q125:Q137,Q160:Q172)+Q174,0)</f>
        <v>8648634.2878511343</v>
      </c>
      <c r="R19" s="360">
        <f>IF(R15&lt;=('0 Úvod'!$G$18+'0 Úvod'!$J$18-1),SUMPRODUCT(R125:R137,R160:R172)+R174,0)</f>
        <v>8846688.0130429249</v>
      </c>
      <c r="S19" s="360">
        <f>IF(S15&lt;=('0 Úvod'!$G$18+'0 Úvod'!$J$18-1),SUMPRODUCT(S125:S137,S160:S172)+S174,0)</f>
        <v>9049277.1685416065</v>
      </c>
      <c r="T19" s="1938"/>
    </row>
    <row r="20" spans="1:35" ht="14.25" x14ac:dyDescent="0.3">
      <c r="A20" s="207"/>
      <c r="B20" s="383"/>
      <c r="C20" s="59" t="str">
        <f>C74</f>
        <v>Náklady na běžnou údržbu - SILNIČNÍ infrastruktura</v>
      </c>
      <c r="D20" s="386"/>
      <c r="E20" s="29"/>
      <c r="F20" s="29"/>
      <c r="G20" s="29"/>
      <c r="H20" s="29"/>
      <c r="I20" s="29"/>
      <c r="J20" s="29"/>
      <c r="K20" s="29"/>
      <c r="L20" s="29"/>
      <c r="M20" s="29"/>
      <c r="N20" s="29"/>
      <c r="O20" s="29"/>
      <c r="P20" s="29"/>
      <c r="Q20" s="29"/>
      <c r="R20" s="29"/>
      <c r="S20" s="29"/>
      <c r="T20" s="1938"/>
    </row>
    <row r="21" spans="1:35" ht="14.25" x14ac:dyDescent="0.3">
      <c r="A21" s="207"/>
      <c r="B21" s="383"/>
      <c r="C21" s="59" t="str">
        <f>C75</f>
        <v>Náklady na opravy - SILNIČNÍ infrastruktura</v>
      </c>
      <c r="D21" s="386"/>
      <c r="E21" s="29"/>
      <c r="F21" s="29"/>
      <c r="G21" s="29"/>
      <c r="H21" s="29"/>
      <c r="I21" s="29"/>
      <c r="J21" s="29"/>
      <c r="K21" s="29"/>
      <c r="L21" s="29"/>
      <c r="M21" s="29"/>
      <c r="N21" s="29"/>
      <c r="O21" s="29"/>
      <c r="P21" s="29"/>
      <c r="Q21" s="29"/>
      <c r="R21" s="29"/>
      <c r="S21" s="29"/>
      <c r="T21" s="1938"/>
    </row>
    <row r="22" spans="1:35" ht="14.25" x14ac:dyDescent="0.3">
      <c r="A22" s="207"/>
      <c r="B22" s="387"/>
      <c r="C22" s="59" t="str">
        <f>IF('0 Úvod'!$M$10="English",Slovnik!D130,Slovnik!C130)</f>
        <v>Náklady na běžnou údržbu VODNÍ infrastruktury</v>
      </c>
      <c r="D22" s="255"/>
      <c r="E22" s="29"/>
      <c r="F22" s="29"/>
      <c r="G22" s="29"/>
      <c r="H22" s="29"/>
      <c r="I22" s="29"/>
      <c r="J22" s="29"/>
      <c r="K22" s="29"/>
      <c r="L22" s="29"/>
      <c r="M22" s="29"/>
      <c r="N22" s="29"/>
      <c r="O22" s="29"/>
      <c r="P22" s="29"/>
      <c r="Q22" s="29"/>
      <c r="R22" s="29"/>
      <c r="S22" s="29"/>
      <c r="T22" s="1938"/>
    </row>
    <row r="23" spans="1:35" ht="14.25" x14ac:dyDescent="0.3">
      <c r="A23" s="207"/>
      <c r="B23" s="387"/>
      <c r="C23" s="59" t="str">
        <f>IF('0 Úvod'!$M$10="English",Slovnik!D131,Slovnik!C131)</f>
        <v>Náklady na opravy VODNÍ infrastruktury</v>
      </c>
      <c r="D23" s="255"/>
      <c r="E23" s="29"/>
      <c r="F23" s="29"/>
      <c r="G23" s="29"/>
      <c r="H23" s="29"/>
      <c r="I23" s="29"/>
      <c r="J23" s="29"/>
      <c r="K23" s="29"/>
      <c r="L23" s="29"/>
      <c r="M23" s="29"/>
      <c r="N23" s="29"/>
      <c r="O23" s="29"/>
      <c r="P23" s="29"/>
      <c r="Q23" s="29"/>
      <c r="R23" s="29"/>
      <c r="S23" s="29"/>
      <c r="T23" s="1938"/>
    </row>
    <row r="24" spans="1:35" ht="14.25" x14ac:dyDescent="0.3">
      <c r="A24" s="207"/>
      <c r="B24" s="387"/>
      <c r="C24" s="59" t="str">
        <f>IF('0 Úvod'!$M$10="English",Slovnik!D731,Slovnik!C731)</f>
        <v>Náklady na běžnou údržbu OSTATNÍ infrastruktury</v>
      </c>
      <c r="D24" s="255"/>
      <c r="E24" s="29"/>
      <c r="F24" s="29"/>
      <c r="G24" s="29"/>
      <c r="H24" s="29"/>
      <c r="I24" s="29"/>
      <c r="J24" s="29"/>
      <c r="K24" s="29"/>
      <c r="L24" s="29"/>
      <c r="M24" s="29"/>
      <c r="N24" s="29"/>
      <c r="O24" s="29"/>
      <c r="P24" s="29"/>
      <c r="Q24" s="29"/>
      <c r="R24" s="29"/>
      <c r="S24" s="29"/>
      <c r="T24" s="1938"/>
    </row>
    <row r="25" spans="1:35" ht="14.25" x14ac:dyDescent="0.3">
      <c r="A25" s="207"/>
      <c r="B25" s="1713"/>
      <c r="C25" s="1829" t="str">
        <f>IF('0 Úvod'!$M$10="English",Slovnik!D732,Slovnik!C732)</f>
        <v>Náklady na opravy OSTATNÍ infrastruktury</v>
      </c>
      <c r="D25" s="1937"/>
      <c r="E25" s="29"/>
      <c r="F25" s="29"/>
      <c r="G25" s="29"/>
      <c r="H25" s="29"/>
      <c r="I25" s="29"/>
      <c r="J25" s="29"/>
      <c r="K25" s="29"/>
      <c r="L25" s="29"/>
      <c r="M25" s="29"/>
      <c r="N25" s="29"/>
      <c r="O25" s="29"/>
      <c r="P25" s="29"/>
      <c r="Q25" s="29"/>
      <c r="R25" s="29"/>
      <c r="S25" s="29"/>
      <c r="T25" s="1938"/>
    </row>
    <row r="26" spans="1:35" ht="15" thickBot="1" x14ac:dyDescent="0.35">
      <c r="A26" s="216"/>
      <c r="B26" s="1568"/>
      <c r="C26" s="1569" t="str">
        <f>IF('0 Úvod'!$M$10="English",Slovnik!D132,Slovnik!C132)</f>
        <v>Celkové PN infrastruktury</v>
      </c>
      <c r="D26" s="1570"/>
      <c r="E26" s="866">
        <f>SUM(E17:E25)</f>
        <v>11515328.123051455</v>
      </c>
      <c r="F26" s="1940">
        <f t="shared" ref="F26:S26" si="6">SUM(F17:F25)</f>
        <v>11686267.63603255</v>
      </c>
      <c r="G26" s="1940">
        <f t="shared" si="6"/>
        <v>11860763.551433047</v>
      </c>
      <c r="H26" s="1940">
        <f t="shared" si="6"/>
        <v>12038895.520306213</v>
      </c>
      <c r="I26" s="1940">
        <f t="shared" si="6"/>
        <v>12220745.008761626</v>
      </c>
      <c r="J26" s="1940">
        <f t="shared" si="6"/>
        <v>12406395.339485183</v>
      </c>
      <c r="K26" s="1940">
        <f t="shared" si="6"/>
        <v>12595931.73420975</v>
      </c>
      <c r="L26" s="1940">
        <f t="shared" si="6"/>
        <v>20124479.382886745</v>
      </c>
      <c r="M26" s="1940">
        <f t="shared" si="6"/>
        <v>12987013.359480426</v>
      </c>
      <c r="N26" s="1940">
        <f t="shared" si="6"/>
        <v>13188738.92470949</v>
      </c>
      <c r="O26" s="1940">
        <f t="shared" si="6"/>
        <v>13394711.315256106</v>
      </c>
      <c r="P26" s="1940">
        <f t="shared" si="6"/>
        <v>13605025.919969413</v>
      </c>
      <c r="Q26" s="1940">
        <f t="shared" si="6"/>
        <v>383603049.50849938</v>
      </c>
      <c r="R26" s="1940">
        <f t="shared" si="6"/>
        <v>14039074.252492547</v>
      </c>
      <c r="S26" s="1941">
        <f t="shared" si="6"/>
        <v>152621475.63042131</v>
      </c>
    </row>
    <row r="27" spans="1:35" x14ac:dyDescent="0.3">
      <c r="A27" s="216"/>
      <c r="B27" s="299"/>
      <c r="C27" s="216"/>
      <c r="D27" s="208"/>
      <c r="E27" s="220"/>
      <c r="F27" s="220"/>
      <c r="G27" s="220"/>
      <c r="H27" s="220"/>
      <c r="I27" s="220"/>
      <c r="J27" s="220"/>
      <c r="K27" s="220"/>
      <c r="L27" s="220"/>
      <c r="M27" s="220"/>
      <c r="N27" s="220"/>
      <c r="O27" s="220"/>
      <c r="P27" s="220"/>
      <c r="Q27" s="220"/>
      <c r="R27" s="220"/>
      <c r="S27" s="220"/>
    </row>
    <row r="28" spans="1:35" ht="14.25" thickBot="1" x14ac:dyDescent="0.35">
      <c r="A28" s="207"/>
      <c r="B28" s="300"/>
      <c r="J28" s="25">
        <v>0.20655830182059179</v>
      </c>
    </row>
    <row r="29" spans="1:35" ht="14.25" x14ac:dyDescent="0.3">
      <c r="A29" s="207"/>
      <c r="B29" s="248" t="s">
        <v>31</v>
      </c>
      <c r="C29" s="221" t="str">
        <f>IF('0 Úvod'!$M$10="English",Slovnik!D123,Slovnik!C123)</f>
        <v>Celkové provozní náklady (CZK)</v>
      </c>
      <c r="D29" s="301"/>
      <c r="E29" s="2319">
        <f>E2</f>
        <v>2021</v>
      </c>
      <c r="F29" s="2325">
        <f t="shared" ref="F29:S29" si="7">E29+1</f>
        <v>2022</v>
      </c>
      <c r="G29" s="2325">
        <f t="shared" si="7"/>
        <v>2023</v>
      </c>
      <c r="H29" s="2325">
        <f t="shared" si="7"/>
        <v>2024</v>
      </c>
      <c r="I29" s="2325">
        <f t="shared" si="7"/>
        <v>2025</v>
      </c>
      <c r="J29" s="2325">
        <f t="shared" si="7"/>
        <v>2026</v>
      </c>
      <c r="K29" s="2325">
        <f t="shared" si="7"/>
        <v>2027</v>
      </c>
      <c r="L29" s="2325">
        <f t="shared" si="7"/>
        <v>2028</v>
      </c>
      <c r="M29" s="2325">
        <f t="shared" si="7"/>
        <v>2029</v>
      </c>
      <c r="N29" s="2325">
        <f t="shared" si="7"/>
        <v>2030</v>
      </c>
      <c r="O29" s="2325">
        <f t="shared" si="7"/>
        <v>2031</v>
      </c>
      <c r="P29" s="2325">
        <f t="shared" si="7"/>
        <v>2032</v>
      </c>
      <c r="Q29" s="2325">
        <f t="shared" si="7"/>
        <v>2033</v>
      </c>
      <c r="R29" s="2325">
        <f t="shared" si="7"/>
        <v>2034</v>
      </c>
      <c r="S29" s="2315">
        <f t="shared" si="7"/>
        <v>2035</v>
      </c>
    </row>
    <row r="30" spans="1:35" ht="15" thickBot="1" x14ac:dyDescent="0.35">
      <c r="A30" s="207"/>
      <c r="B30" s="222" t="s">
        <v>23</v>
      </c>
      <c r="C30" s="223" t="str">
        <f>IF('0 Úvod'!$M$10="English",Slovnik!D134,Slovnik!C134)</f>
        <v>Scénář bez projektu</v>
      </c>
      <c r="D30" s="224" t="str">
        <f>D3</f>
        <v>Celkem</v>
      </c>
      <c r="E30" s="2320"/>
      <c r="F30" s="2326"/>
      <c r="G30" s="2326"/>
      <c r="H30" s="2326"/>
      <c r="I30" s="2326"/>
      <c r="J30" s="2326"/>
      <c r="K30" s="2326"/>
      <c r="L30" s="2326"/>
      <c r="M30" s="2326"/>
      <c r="N30" s="2326"/>
      <c r="O30" s="2326"/>
      <c r="P30" s="2326"/>
      <c r="Q30" s="2326"/>
      <c r="R30" s="2326"/>
      <c r="S30" s="2316"/>
    </row>
    <row r="31" spans="1:35" s="207" customFormat="1" ht="14.25" x14ac:dyDescent="0.3">
      <c r="B31" s="383"/>
      <c r="C31" s="59" t="str">
        <f>IF('0 Úvod'!$M$10="English",Slovnik!D125,Slovnik!C125)</f>
        <v>Náklady na údržbu a opravy - ŽELEZNIČNÍ infrastruktura</v>
      </c>
      <c r="D31" s="378">
        <f t="shared" ref="D31:D37" si="8">SUM(E31:S31,E44:S44)</f>
        <v>180273180.08266959</v>
      </c>
      <c r="E31" s="29">
        <v>5704048.7464758754</v>
      </c>
      <c r="F31" s="29">
        <v>5724118.1568749212</v>
      </c>
      <c r="G31" s="29">
        <v>5744287.9143259618</v>
      </c>
      <c r="H31" s="29">
        <v>5764558.5205642572</v>
      </c>
      <c r="I31" s="29">
        <v>5784930.4798337454</v>
      </c>
      <c r="J31" s="29">
        <v>5805404.2988995798</v>
      </c>
      <c r="K31" s="29">
        <v>5825980.4870607443</v>
      </c>
      <c r="L31" s="29">
        <v>5846659.556162714</v>
      </c>
      <c r="M31" s="29">
        <v>5867442.0206101937</v>
      </c>
      <c r="N31" s="29">
        <v>5888328.3973799106</v>
      </c>
      <c r="O31" s="29">
        <v>5909319.2060334766</v>
      </c>
      <c r="P31" s="29">
        <v>5930414.9687303109</v>
      </c>
      <c r="Q31" s="29">
        <v>5951616.2102406276</v>
      </c>
      <c r="R31" s="29">
        <v>5972923.4579584971</v>
      </c>
      <c r="S31" s="29">
        <v>5994337.2419149559</v>
      </c>
      <c r="T31" s="1938"/>
      <c r="U31" s="25"/>
      <c r="V31" s="25"/>
      <c r="W31" s="25"/>
      <c r="X31" s="25"/>
      <c r="Y31" s="25"/>
      <c r="Z31" s="25"/>
      <c r="AA31" s="25"/>
      <c r="AB31" s="25"/>
      <c r="AC31" s="25"/>
      <c r="AD31" s="25"/>
      <c r="AE31" s="25"/>
      <c r="AF31" s="25"/>
      <c r="AG31" s="25"/>
      <c r="AH31" s="25"/>
      <c r="AI31" s="25"/>
    </row>
    <row r="32" spans="1:35" ht="14.25" x14ac:dyDescent="0.3">
      <c r="A32" s="207"/>
      <c r="B32" s="384"/>
      <c r="C32" s="74" t="str">
        <f>IF('0 Úvod'!$M$10="English",Slovnik!D126,Slovnik!C126)</f>
        <v>Reinvestice (obnova) - ŽELEZNIČNÍ infrastruktura</v>
      </c>
      <c r="D32" s="379">
        <f t="shared" si="8"/>
        <v>635000000</v>
      </c>
      <c r="E32" s="29">
        <v>0</v>
      </c>
      <c r="F32" s="29">
        <v>0</v>
      </c>
      <c r="G32" s="29">
        <v>252600000</v>
      </c>
      <c r="H32" s="29">
        <v>0</v>
      </c>
      <c r="I32" s="29">
        <v>0</v>
      </c>
      <c r="J32" s="29">
        <v>0</v>
      </c>
      <c r="K32" s="29">
        <v>0</v>
      </c>
      <c r="L32" s="29">
        <v>0</v>
      </c>
      <c r="M32" s="29">
        <v>129800000</v>
      </c>
      <c r="N32" s="29">
        <v>0</v>
      </c>
      <c r="O32" s="29">
        <v>0</v>
      </c>
      <c r="P32" s="29">
        <v>0</v>
      </c>
      <c r="Q32" s="29">
        <v>0</v>
      </c>
      <c r="R32" s="29">
        <v>0</v>
      </c>
      <c r="S32" s="29">
        <v>0</v>
      </c>
      <c r="T32" s="1938"/>
    </row>
    <row r="33" spans="1:35" ht="14.25" x14ac:dyDescent="0.3">
      <c r="A33" s="207"/>
      <c r="B33" s="384"/>
      <c r="C33" s="254" t="str">
        <f>IF('0 Úvod'!$M$10="English",Slovnik!D127,Slovnik!C127)</f>
        <v>Náklady na řízení provozu - ŽELEZNIČNÍ doprava</v>
      </c>
      <c r="D33" s="379">
        <f t="shared" si="8"/>
        <v>199279175.49164414</v>
      </c>
      <c r="E33" s="360">
        <f>IF(E29&lt;=('0 Úvod'!$G$18+'0 Úvod'!$J$18-1),SUMPRODUCT(E108:E120,E178:E190)+E192,0)</f>
        <v>4693012.4969425723</v>
      </c>
      <c r="F33" s="360">
        <f>IF(F29&lt;=('0 Úvod'!$G$18+'0 Úvod'!$J$18-1),SUMPRODUCT(F108:F120,F178:F190)+F192,0)</f>
        <v>4800482.4831225565</v>
      </c>
      <c r="G33" s="360">
        <f>IF(G29&lt;=('0 Úvod'!$G$18+'0 Úvod'!$J$18-1),SUMPRODUCT(G108:G120,G178:G190)+G192,0)</f>
        <v>4910413.5319860633</v>
      </c>
      <c r="H33" s="360">
        <f>IF(H29&lt;=('0 Úvod'!$G$18+'0 Úvod'!$J$18-1),SUMPRODUCT(H108:H120,H178:H190)+H192,0)</f>
        <v>5022862.0018685432</v>
      </c>
      <c r="I33" s="360">
        <f>IF(I29&lt;=('0 Úvod'!$G$18+'0 Úvod'!$J$18-1),SUMPRODUCT(I108:I120,I178:I190)+I192,0)</f>
        <v>5137885.5417113323</v>
      </c>
      <c r="J33" s="360">
        <f>IF(J29&lt;=('0 Úvod'!$G$18+'0 Úvod'!$J$18-1),SUMPRODUCT(J108:J120,J178:J190)+J192,0)</f>
        <v>5255543.1206165217</v>
      </c>
      <c r="K33" s="360">
        <f>IF(K29&lt;=('0 Úvod'!$G$18+'0 Úvod'!$J$18-1),SUMPRODUCT(K108:K120,K178:K190)+K192,0)</f>
        <v>5375895.0580786392</v>
      </c>
      <c r="L33" s="360">
        <f>IF(L29&lt;=('0 Úvod'!$G$18+'0 Úvod'!$J$18-1),SUMPRODUCT(L108:L120,L178:L190)+L192,0)</f>
        <v>5499003.0549086407</v>
      </c>
      <c r="M33" s="360">
        <f>IF(M29&lt;=('0 Úvod'!$G$18+'0 Úvod'!$J$18-1),SUMPRODUCT(M108:M120,M178:M190)+M192,0)</f>
        <v>5624930.2248660484</v>
      </c>
      <c r="N33" s="360">
        <f>IF(N29&lt;=('0 Úvod'!$G$18+'0 Úvod'!$J$18-1),SUMPRODUCT(N108:N120,N178:N190)+N192,0)</f>
        <v>5753741.1270154798</v>
      </c>
      <c r="O33" s="360">
        <f>IF(O29&lt;=('0 Úvod'!$G$18+'0 Úvod'!$J$18-1),SUMPRODUCT(O108:O120,O178:O190)+O192,0)</f>
        <v>5885501.7988241343</v>
      </c>
      <c r="P33" s="360">
        <f>IF(P29&lt;=('0 Úvod'!$G$18+'0 Úvod'!$J$18-1),SUMPRODUCT(P108:P120,P178:P190)+P192,0)</f>
        <v>6020279.7900172062</v>
      </c>
      <c r="Q33" s="360">
        <f>IF(Q29&lt;=('0 Úvod'!$G$18+'0 Úvod'!$J$18-1),SUMPRODUCT(Q108:Q120,Q178:Q190)+Q192,0)</f>
        <v>6158144.1972086001</v>
      </c>
      <c r="R33" s="360">
        <f>IF(R29&lt;=('0 Úvod'!$G$18+'0 Úvod'!$J$18-1),SUMPRODUCT(R108:R120,R178:R190)+R192,0)</f>
        <v>6299165.6993246758</v>
      </c>
      <c r="S33" s="360">
        <f>IF(S29&lt;=('0 Úvod'!$G$18+'0 Úvod'!$J$18-1),SUMPRODUCT(S108:S120,S178:S190)+S192,0)</f>
        <v>6443416.5938392105</v>
      </c>
      <c r="T33" s="1938"/>
    </row>
    <row r="34" spans="1:35" ht="14.25" x14ac:dyDescent="0.3">
      <c r="A34" s="207"/>
      <c r="B34" s="384"/>
      <c r="C34" s="59" t="str">
        <f>C61</f>
        <v>Náklady na běžnou údržbu - SILNIČNÍ infrastruktura</v>
      </c>
      <c r="D34" s="379">
        <f t="shared" si="8"/>
        <v>0</v>
      </c>
      <c r="E34" s="29"/>
      <c r="F34" s="29"/>
      <c r="G34" s="29"/>
      <c r="H34" s="29"/>
      <c r="I34" s="29"/>
      <c r="J34" s="29"/>
      <c r="K34" s="29"/>
      <c r="L34" s="29"/>
      <c r="M34" s="29"/>
      <c r="N34" s="29"/>
      <c r="O34" s="29"/>
      <c r="P34" s="29"/>
      <c r="Q34" s="29"/>
      <c r="R34" s="29"/>
      <c r="S34" s="29"/>
      <c r="T34" s="1938">
        <v>19.420000000000002</v>
      </c>
      <c r="U34" s="25">
        <f>T34*(1+'0 Úvod'!$L$41)*(1+'0 Úvod'!$M$41)*(1+'0 Úvod'!$N$41)</f>
        <v>20.669312680800001</v>
      </c>
      <c r="V34" s="25">
        <f>U34/'6 Externality'!U286/1000</f>
        <v>1.2158419224000001E-2</v>
      </c>
    </row>
    <row r="35" spans="1:35" ht="14.25" x14ac:dyDescent="0.3">
      <c r="A35" s="207"/>
      <c r="B35" s="384"/>
      <c r="C35" s="59" t="str">
        <f>C62</f>
        <v>Náklady na opravy - SILNIČNÍ infrastruktura</v>
      </c>
      <c r="D35" s="379">
        <f t="shared" si="8"/>
        <v>273960.49931583775</v>
      </c>
      <c r="E35" s="29"/>
      <c r="F35" s="29"/>
      <c r="G35" s="29">
        <f>SUMPRODUCT($V$34:$V$37,'6 Externality'!G286:G289)</f>
        <v>545.16840575270635</v>
      </c>
      <c r="H35" s="29"/>
      <c r="I35" s="29"/>
      <c r="J35" s="29">
        <f>SUMPRODUCT($V$34:$V$36,'6 Externality'!J286:J288)+$V$37*'6 Externality'!J289*$J$28</f>
        <v>10914.806500173296</v>
      </c>
      <c r="K35" s="29">
        <f>SUMPRODUCT($V$34:$V$36,'6 Externality'!K286:K288)+$V$37*'6 Externality'!K289*$J$28</f>
        <v>10914.806500173296</v>
      </c>
      <c r="L35" s="29">
        <f>SUMPRODUCT($V$34:$V$36,'6 Externality'!L286:L288)+$V$37*'6 Externality'!L289*$J$28</f>
        <v>10914.806500173296</v>
      </c>
      <c r="M35" s="29">
        <f>SUMPRODUCT($V$34:$V$36,'6 Externality'!M286:M288)+$V$37*'6 Externality'!M289*$J$28</f>
        <v>10914.806500173296</v>
      </c>
      <c r="N35" s="29">
        <f>SUMPRODUCT($V$34:$V$36,'6 Externality'!N286:N288)+$V$37*'6 Externality'!N289*$J$28</f>
        <v>10914.806500173296</v>
      </c>
      <c r="O35" s="29">
        <f>SUMPRODUCT($V$34:$V$36,'6 Externality'!O286:O288)+$V$37*'6 Externality'!O289*$J$28</f>
        <v>10914.806500173296</v>
      </c>
      <c r="P35" s="29">
        <f>SUMPRODUCT($V$34:$V$36,'6 Externality'!P286:P288)+$V$37*'6 Externality'!P289*$J$28</f>
        <v>10914.806500173296</v>
      </c>
      <c r="Q35" s="29">
        <f>SUMPRODUCT($V$34:$V$36,'6 Externality'!Q286:Q288)+$V$37*'6 Externality'!Q289*$J$28</f>
        <v>10914.806500173296</v>
      </c>
      <c r="R35" s="29">
        <f>SUMPRODUCT($V$34:$V$36,'6 Externality'!R286:R288)+$V$37*'6 Externality'!R289*$J$28</f>
        <v>10914.806500173296</v>
      </c>
      <c r="S35" s="29">
        <f>SUMPRODUCT($V$34:$V$36,'6 Externality'!S286:S288)+$V$37*'6 Externality'!S289*$J$28</f>
        <v>10914.806500173296</v>
      </c>
      <c r="T35" s="1938">
        <v>175.32</v>
      </c>
      <c r="U35" s="25">
        <f>T35*(1+'0 Úvod'!$L$41)*(1+'0 Úvod'!$M$41)*(1+'0 Úvod'!$N$41)</f>
        <v>186.59855299679998</v>
      </c>
      <c r="V35" s="25">
        <f>U35/'6 Externality'!U287/1000</f>
        <v>5.1832931387999995E-3</v>
      </c>
    </row>
    <row r="36" spans="1:35" ht="14.25" x14ac:dyDescent="0.3">
      <c r="A36" s="207"/>
      <c r="B36" s="384"/>
      <c r="C36" s="59" t="str">
        <f>IF('0 Úvod'!$M$10="English",Slovnik!D130,Slovnik!C130)</f>
        <v>Náklady na běžnou údržbu VODNÍ infrastruktury</v>
      </c>
      <c r="D36" s="379">
        <f t="shared" si="8"/>
        <v>0</v>
      </c>
      <c r="E36" s="29"/>
      <c r="F36" s="29"/>
      <c r="G36" s="29"/>
      <c r="H36" s="29"/>
      <c r="I36" s="29"/>
      <c r="J36" s="29"/>
      <c r="K36" s="29"/>
      <c r="L36" s="29"/>
      <c r="M36" s="29"/>
      <c r="N36" s="29"/>
      <c r="O36" s="29"/>
      <c r="P36" s="29"/>
      <c r="Q36" s="29"/>
      <c r="R36" s="29"/>
      <c r="S36" s="29"/>
      <c r="T36" s="1938">
        <v>31.32</v>
      </c>
      <c r="U36" s="25">
        <f>T36*(1+'0 Úvod'!$L$41)*(1+'0 Úvod'!$M$41)*(1+'0 Úvod'!$N$41)</f>
        <v>33.334854436800001</v>
      </c>
    </row>
    <row r="37" spans="1:35" ht="14.25" x14ac:dyDescent="0.3">
      <c r="A37" s="207"/>
      <c r="B37" s="384"/>
      <c r="C37" s="59" t="str">
        <f>IF('0 Úvod'!$M$10="English",Slovnik!D131,Slovnik!C131)</f>
        <v>Náklady na opravy VODNÍ infrastruktury</v>
      </c>
      <c r="D37" s="379">
        <f t="shared" si="8"/>
        <v>0</v>
      </c>
      <c r="E37" s="29"/>
      <c r="F37" s="29"/>
      <c r="G37" s="29"/>
      <c r="H37" s="29"/>
      <c r="I37" s="29"/>
      <c r="J37" s="29"/>
      <c r="K37" s="29"/>
      <c r="L37" s="29"/>
      <c r="M37" s="29"/>
      <c r="N37" s="29"/>
      <c r="O37" s="29"/>
      <c r="P37" s="29"/>
      <c r="Q37" s="29"/>
      <c r="R37" s="29"/>
      <c r="S37" s="29"/>
      <c r="T37" s="1938">
        <v>324.94</v>
      </c>
      <c r="U37" s="25">
        <f>T37*(1+'0 Úvod'!$L$41)*(1+'0 Úvod'!$M$41)*(1+'0 Úvod'!$N$41)</f>
        <v>345.84379312560003</v>
      </c>
      <c r="V37" s="25">
        <f>U37/'6 Externality'!U289/1000</f>
        <v>1.9807777384054984E-2</v>
      </c>
    </row>
    <row r="38" spans="1:35" ht="14.25" x14ac:dyDescent="0.3">
      <c r="A38" s="207"/>
      <c r="B38" s="384"/>
      <c r="C38" s="59" t="str">
        <f>IF('0 Úvod'!$M$10="English",Slovnik!D731,Slovnik!C731)</f>
        <v>Náklady na běžnou údržbu OSTATNÍ infrastruktury</v>
      </c>
      <c r="D38" s="379">
        <f t="shared" ref="D38:D39" si="9">SUM(E38:S38,E51:S51)</f>
        <v>0</v>
      </c>
      <c r="E38" s="29"/>
      <c r="F38" s="29"/>
      <c r="G38" s="29"/>
      <c r="H38" s="29"/>
      <c r="I38" s="29"/>
      <c r="J38" s="29"/>
      <c r="K38" s="29"/>
      <c r="L38" s="29"/>
      <c r="M38" s="29"/>
      <c r="N38" s="29"/>
      <c r="O38" s="29"/>
      <c r="P38" s="29"/>
      <c r="Q38" s="29"/>
      <c r="R38" s="29"/>
      <c r="S38" s="29"/>
      <c r="T38" s="1938"/>
    </row>
    <row r="39" spans="1:35" ht="14.25" x14ac:dyDescent="0.3">
      <c r="A39" s="207"/>
      <c r="B39" s="384"/>
      <c r="C39" s="59" t="str">
        <f>IF('0 Úvod'!$M$10="English",Slovnik!D732,Slovnik!C732)</f>
        <v>Náklady na opravy OSTATNÍ infrastruktury</v>
      </c>
      <c r="D39" s="379">
        <f t="shared" si="9"/>
        <v>0</v>
      </c>
      <c r="E39" s="29"/>
      <c r="F39" s="29"/>
      <c r="G39" s="29"/>
      <c r="H39" s="29"/>
      <c r="I39" s="29"/>
      <c r="J39" s="29"/>
      <c r="K39" s="29"/>
      <c r="L39" s="29"/>
      <c r="M39" s="29"/>
      <c r="N39" s="29"/>
      <c r="O39" s="29"/>
      <c r="P39" s="29"/>
      <c r="Q39" s="29"/>
      <c r="R39" s="29"/>
      <c r="S39" s="29"/>
      <c r="T39" s="1938"/>
    </row>
    <row r="40" spans="1:35" ht="15" thickBot="1" x14ac:dyDescent="0.35">
      <c r="A40" s="207"/>
      <c r="B40" s="380"/>
      <c r="C40" s="381" t="str">
        <f>IF('0 Úvod'!$M$10="English",Slovnik!D132,Slovnik!C132)</f>
        <v>Celkové PN infrastruktury</v>
      </c>
      <c r="D40" s="382">
        <f t="shared" ref="D40" si="10">SUM(E40:S40,E53:S53)</f>
        <v>1014826316.0736295</v>
      </c>
      <c r="E40" s="867">
        <f>SUM(E31:E39)</f>
        <v>10397061.243418448</v>
      </c>
      <c r="F40" s="1942">
        <f t="shared" ref="F40:S40" si="11">SUM(F31:F39)</f>
        <v>10524600.639997479</v>
      </c>
      <c r="G40" s="1942">
        <f t="shared" si="11"/>
        <v>263255246.61471775</v>
      </c>
      <c r="H40" s="1942">
        <f t="shared" si="11"/>
        <v>10787420.5224328</v>
      </c>
      <c r="I40" s="1942">
        <f t="shared" si="11"/>
        <v>10922816.021545079</v>
      </c>
      <c r="J40" s="1942">
        <f t="shared" si="11"/>
        <v>11071862.226016276</v>
      </c>
      <c r="K40" s="1942">
        <f t="shared" si="11"/>
        <v>11212790.351639558</v>
      </c>
      <c r="L40" s="1942">
        <f t="shared" si="11"/>
        <v>11356577.41757153</v>
      </c>
      <c r="M40" s="1942">
        <f t="shared" si="11"/>
        <v>141303287.05197641</v>
      </c>
      <c r="N40" s="1942">
        <f t="shared" si="11"/>
        <v>11652984.330895565</v>
      </c>
      <c r="O40" s="1942">
        <f t="shared" si="11"/>
        <v>11805735.811357785</v>
      </c>
      <c r="P40" s="1942">
        <f t="shared" si="11"/>
        <v>11961609.565247692</v>
      </c>
      <c r="Q40" s="1942">
        <f t="shared" si="11"/>
        <v>12120675.213949401</v>
      </c>
      <c r="R40" s="1942">
        <f t="shared" si="11"/>
        <v>12283003.963783346</v>
      </c>
      <c r="S40" s="1943">
        <f t="shared" si="11"/>
        <v>12448668.642254341</v>
      </c>
    </row>
    <row r="41" spans="1:35" ht="14.25" thickBot="1" x14ac:dyDescent="0.35">
      <c r="A41" s="207"/>
      <c r="B41" s="302"/>
      <c r="C41" s="207"/>
      <c r="D41" s="208"/>
      <c r="E41" s="215"/>
      <c r="F41" s="215"/>
      <c r="G41" s="215"/>
      <c r="H41" s="215"/>
      <c r="I41" s="215"/>
      <c r="J41" s="215"/>
      <c r="K41" s="215"/>
      <c r="L41" s="215"/>
      <c r="M41" s="215"/>
      <c r="N41" s="215"/>
      <c r="O41" s="215"/>
      <c r="P41" s="215"/>
      <c r="Q41" s="215"/>
      <c r="R41" s="215"/>
      <c r="S41" s="298"/>
    </row>
    <row r="42" spans="1:35" ht="14.25" x14ac:dyDescent="0.3">
      <c r="A42" s="207"/>
      <c r="B42" s="248" t="s">
        <v>31</v>
      </c>
      <c r="C42" s="221" t="str">
        <f>IF('0 Úvod'!$M$10="English",Slovnik!D123,Slovnik!C123)</f>
        <v>Celkové provozní náklady (CZK)</v>
      </c>
      <c r="D42" s="303"/>
      <c r="E42" s="2319">
        <f>S29+1</f>
        <v>2036</v>
      </c>
      <c r="F42" s="2325">
        <f t="shared" ref="F42:S42" si="12">E42+1</f>
        <v>2037</v>
      </c>
      <c r="G42" s="2325">
        <f t="shared" si="12"/>
        <v>2038</v>
      </c>
      <c r="H42" s="2325">
        <f t="shared" si="12"/>
        <v>2039</v>
      </c>
      <c r="I42" s="2325">
        <f t="shared" si="12"/>
        <v>2040</v>
      </c>
      <c r="J42" s="2325">
        <f t="shared" si="12"/>
        <v>2041</v>
      </c>
      <c r="K42" s="2325">
        <f t="shared" si="12"/>
        <v>2042</v>
      </c>
      <c r="L42" s="2325">
        <f t="shared" si="12"/>
        <v>2043</v>
      </c>
      <c r="M42" s="2325">
        <f t="shared" si="12"/>
        <v>2044</v>
      </c>
      <c r="N42" s="2325">
        <f t="shared" si="12"/>
        <v>2045</v>
      </c>
      <c r="O42" s="2325">
        <f t="shared" si="12"/>
        <v>2046</v>
      </c>
      <c r="P42" s="2325">
        <f t="shared" si="12"/>
        <v>2047</v>
      </c>
      <c r="Q42" s="2325">
        <f t="shared" si="12"/>
        <v>2048</v>
      </c>
      <c r="R42" s="2325">
        <f t="shared" si="12"/>
        <v>2049</v>
      </c>
      <c r="S42" s="2315">
        <f t="shared" si="12"/>
        <v>2050</v>
      </c>
    </row>
    <row r="43" spans="1:35" s="207" customFormat="1" ht="15" thickBot="1" x14ac:dyDescent="0.35">
      <c r="B43" s="222" t="s">
        <v>24</v>
      </c>
      <c r="C43" s="223" t="str">
        <f>IF('0 Úvod'!$M$10="English",Slovnik!D134,Slovnik!C134)</f>
        <v>Scénář bez projektu</v>
      </c>
      <c r="D43" s="225"/>
      <c r="E43" s="2320">
        <f>S30+1</f>
        <v>1</v>
      </c>
      <c r="F43" s="2326"/>
      <c r="G43" s="2326"/>
      <c r="H43" s="2326"/>
      <c r="I43" s="2326"/>
      <c r="J43" s="2326"/>
      <c r="K43" s="2326"/>
      <c r="L43" s="2326"/>
      <c r="M43" s="2326"/>
      <c r="N43" s="2326"/>
      <c r="O43" s="2326"/>
      <c r="P43" s="2326"/>
      <c r="Q43" s="2326"/>
      <c r="R43" s="2326"/>
      <c r="S43" s="2316"/>
      <c r="T43" s="25"/>
      <c r="U43" s="25"/>
      <c r="V43" s="25"/>
      <c r="W43" s="25"/>
      <c r="X43" s="25"/>
      <c r="Y43" s="25"/>
      <c r="Z43" s="25"/>
      <c r="AA43" s="25"/>
      <c r="AB43" s="25"/>
      <c r="AC43" s="25"/>
      <c r="AD43" s="25"/>
      <c r="AE43" s="25"/>
      <c r="AF43" s="25"/>
      <c r="AG43" s="25"/>
      <c r="AH43" s="25"/>
      <c r="AI43" s="25"/>
    </row>
    <row r="44" spans="1:35" s="207" customFormat="1" ht="14.25" x14ac:dyDescent="0.3">
      <c r="B44" s="383"/>
      <c r="C44" s="59" t="str">
        <f>IF('0 Úvod'!$M$10="English",Slovnik!D125,Slovnik!C125)</f>
        <v>Náklady na údržbu a opravy - ŽELEZNIČNÍ infrastruktura</v>
      </c>
      <c r="D44" s="385"/>
      <c r="E44" s="29">
        <v>6015858.0947911972</v>
      </c>
      <c r="F44" s="29">
        <v>6037486.551931818</v>
      </c>
      <c r="G44" s="29">
        <v>6059223.1513581434</v>
      </c>
      <c r="H44" s="29">
        <v>6081068.4337816006</v>
      </c>
      <c r="I44" s="29">
        <v>6103022.9426171752</v>
      </c>
      <c r="J44" s="29">
        <v>6125087.223996928</v>
      </c>
      <c r="K44" s="29">
        <v>6147261.8267835779</v>
      </c>
      <c r="L44" s="29">
        <v>6169547.302584162</v>
      </c>
      <c r="M44" s="29">
        <v>6191944.2057637488</v>
      </c>
      <c r="N44" s="29">
        <v>6214453.0934592336</v>
      </c>
      <c r="O44" s="29">
        <v>6237074.525593196</v>
      </c>
      <c r="P44" s="29">
        <v>6259809.0648878291</v>
      </c>
      <c r="Q44" s="29">
        <v>6282657.2768789334</v>
      </c>
      <c r="R44" s="29">
        <v>6305619.7299299948</v>
      </c>
      <c r="S44" s="29">
        <v>6328696.9952463107</v>
      </c>
      <c r="T44" s="1938"/>
      <c r="U44" s="25"/>
      <c r="V44" s="25"/>
      <c r="W44" s="25"/>
      <c r="X44" s="25"/>
      <c r="Y44" s="25"/>
      <c r="Z44" s="25"/>
      <c r="AA44" s="25"/>
      <c r="AB44" s="25"/>
      <c r="AC44" s="25"/>
      <c r="AD44" s="25"/>
      <c r="AE44" s="25"/>
      <c r="AF44" s="25"/>
      <c r="AG44" s="25"/>
      <c r="AH44" s="25"/>
      <c r="AI44" s="25"/>
    </row>
    <row r="45" spans="1:35" ht="14.25" x14ac:dyDescent="0.3">
      <c r="A45" s="207"/>
      <c r="B45" s="383"/>
      <c r="C45" s="74" t="str">
        <f>IF('0 Úvod'!$M$10="English",Slovnik!D126,Slovnik!C126)</f>
        <v>Reinvestice (obnova) - ŽELEZNIČNÍ infrastruktura</v>
      </c>
      <c r="D45" s="386"/>
      <c r="E45" s="29">
        <v>0</v>
      </c>
      <c r="F45" s="29">
        <v>0</v>
      </c>
      <c r="G45" s="29">
        <v>0</v>
      </c>
      <c r="H45" s="29">
        <v>0</v>
      </c>
      <c r="I45" s="29">
        <v>0</v>
      </c>
      <c r="J45" s="29">
        <v>0</v>
      </c>
      <c r="K45" s="29">
        <v>0</v>
      </c>
      <c r="L45" s="29">
        <v>0</v>
      </c>
      <c r="M45" s="29">
        <v>0</v>
      </c>
      <c r="N45" s="29">
        <v>0</v>
      </c>
      <c r="O45" s="29">
        <v>0</v>
      </c>
      <c r="P45" s="29">
        <v>0</v>
      </c>
      <c r="Q45" s="29">
        <v>252600000</v>
      </c>
      <c r="R45" s="29">
        <v>0</v>
      </c>
      <c r="S45" s="29">
        <v>0</v>
      </c>
      <c r="T45" s="1938"/>
    </row>
    <row r="46" spans="1:35" ht="14.25" x14ac:dyDescent="0.3">
      <c r="A46" s="207"/>
      <c r="B46" s="383"/>
      <c r="C46" s="254" t="str">
        <f>IF('0 Úvod'!$M$10="English",Slovnik!D127,Slovnik!C127)</f>
        <v>Náklady na řízení provozu - ŽELEZNIČNÍ doprava</v>
      </c>
      <c r="D46" s="386"/>
      <c r="E46" s="360">
        <f>IF(E42&lt;=('0 Úvod'!$G$18+'0 Úvod'!$J$18-1),SUMPRODUCT(E125:E137,E196:E208)+E210,0)</f>
        <v>6590970.8338381276</v>
      </c>
      <c r="F46" s="360">
        <f>IF(F42&lt;=('0 Úvod'!$G$18+'0 Úvod'!$J$18-1),SUMPRODUCT(F125:F137,F196:F208)+F210,0)</f>
        <v>6741904.0659330208</v>
      </c>
      <c r="G46" s="360">
        <f>IF(G42&lt;=('0 Úvod'!$G$18+'0 Úvod'!$J$18-1),SUMPRODUCT(G125:G137,G196:G208)+G210,0)</f>
        <v>6896293.6690428862</v>
      </c>
      <c r="H46" s="360">
        <f>IF(H42&lt;=('0 Úvod'!$G$18+'0 Úvod'!$J$18-1),SUMPRODUCT(H125:H137,H196:H208)+H210,0)</f>
        <v>7054218.7940639677</v>
      </c>
      <c r="I46" s="360">
        <f>IF(I42&lt;=('0 Úvod'!$G$18+'0 Úvod'!$J$18-1),SUMPRODUCT(I125:I137,I196:I208)+I210,0)</f>
        <v>7215760.4044480333</v>
      </c>
      <c r="J46" s="360">
        <f>IF(J42&lt;=('0 Úvod'!$G$18+'0 Úvod'!$J$18-1),SUMPRODUCT(J125:J137,J196:J208)+J210,0)</f>
        <v>7381001.3177098921</v>
      </c>
      <c r="K46" s="360">
        <f>IF(K42&lt;=('0 Úvod'!$G$18+'0 Úvod'!$J$18-1),SUMPRODUCT(K125:K137,K196:K208)+K210,0)</f>
        <v>7550026.2478854479</v>
      </c>
      <c r="L46" s="360">
        <f>IF(L42&lt;=('0 Úvod'!$G$18+'0 Úvod'!$J$18-1),SUMPRODUCT(L125:L137,L196:L208)+L210,0)</f>
        <v>7722921.8489620239</v>
      </c>
      <c r="M46" s="360">
        <f>IF(M42&lt;=('0 Úvod'!$G$18+'0 Úvod'!$J$18-1),SUMPRODUCT(M125:M137,M196:M208)+M210,0)</f>
        <v>7899776.7593032531</v>
      </c>
      <c r="N46" s="360">
        <f>IF(N42&lt;=('0 Úvod'!$G$18+'0 Úvod'!$J$18-1),SUMPRODUCT(N125:N137,N196:N208)+N210,0)</f>
        <v>8080681.6470912965</v>
      </c>
      <c r="O46" s="360">
        <f>IF(O42&lt;=('0 Úvod'!$G$18+'0 Úvod'!$J$18-1),SUMPRODUCT(O125:O137,O196:O208)+O210,0)</f>
        <v>8265729.2568096872</v>
      </c>
      <c r="P46" s="360">
        <f>IF(P42&lt;=('0 Úvod'!$G$18+'0 Úvod'!$J$18-1),SUMPRODUCT(P125:P137,P196:P208)+P210,0)</f>
        <v>8455014.4567906279</v>
      </c>
      <c r="Q46" s="360">
        <f>IF(Q42&lt;=('0 Úvod'!$G$18+'0 Úvod'!$J$18-1),SUMPRODUCT(Q125:Q137,Q196:Q208)+Q210,0)</f>
        <v>8648634.2878511343</v>
      </c>
      <c r="R46" s="360">
        <f>IF(R42&lt;=('0 Úvod'!$G$18+'0 Úvod'!$J$18-1),SUMPRODUCT(R125:R137,R196:R208)+R210,0)</f>
        <v>8846688.0130429249</v>
      </c>
      <c r="S46" s="360">
        <f>IF(S42&lt;=('0 Úvod'!$G$18+'0 Úvod'!$J$18-1),SUMPRODUCT(S125:S137,S196:S208)+S210,0)</f>
        <v>9049277.1685416065</v>
      </c>
      <c r="T46" s="1938"/>
    </row>
    <row r="47" spans="1:35" ht="14.25" x14ac:dyDescent="0.3">
      <c r="A47" s="207"/>
      <c r="B47" s="383"/>
      <c r="C47" s="59" t="str">
        <f>C74</f>
        <v>Náklady na běžnou údržbu - SILNIČNÍ infrastruktura</v>
      </c>
      <c r="D47" s="386"/>
      <c r="E47" s="29"/>
      <c r="F47" s="29"/>
      <c r="G47" s="29"/>
      <c r="H47" s="29"/>
      <c r="I47" s="29"/>
      <c r="J47" s="29"/>
      <c r="K47" s="29"/>
      <c r="L47" s="29"/>
      <c r="M47" s="29"/>
      <c r="N47" s="29"/>
      <c r="O47" s="29"/>
      <c r="P47" s="29"/>
      <c r="Q47" s="29"/>
      <c r="R47" s="29"/>
      <c r="S47" s="29"/>
      <c r="T47" s="1938"/>
    </row>
    <row r="48" spans="1:35" ht="14.25" x14ac:dyDescent="0.3">
      <c r="A48" s="207"/>
      <c r="B48" s="383"/>
      <c r="C48" s="59" t="str">
        <f>C75</f>
        <v>Náklady na opravy - SILNIČNÍ infrastruktura</v>
      </c>
      <c r="D48" s="386"/>
      <c r="E48" s="29">
        <f>SUMPRODUCT($V$34:$V$36,'6 Externality'!E301:E303)+$V$37*'6 Externality'!E304*$J$28</f>
        <v>10914.806500173296</v>
      </c>
      <c r="F48" s="29">
        <f>SUMPRODUCT($V$34:$V$36,'6 Externality'!F301:F303)+$V$37*'6 Externality'!F304*$J$28</f>
        <v>10914.806500173296</v>
      </c>
      <c r="G48" s="29">
        <f>SUMPRODUCT($V$34:$V$36,'6 Externality'!G301:G303)+$V$37*'6 Externality'!G304*$J$28</f>
        <v>10914.806500173296</v>
      </c>
      <c r="H48" s="29">
        <f>SUMPRODUCT($V$34:$V$36,'6 Externality'!H301:H303)+$V$37*'6 Externality'!H304*$J$28</f>
        <v>10914.806500173296</v>
      </c>
      <c r="I48" s="29">
        <f>SUMPRODUCT($V$34:$V$36,'6 Externality'!I301:I303)+$V$37*'6 Externality'!I304*$J$28</f>
        <v>10914.806500173296</v>
      </c>
      <c r="J48" s="29">
        <f>SUMPRODUCT($V$34:$V$36,'6 Externality'!J301:J303)+$V$37*'6 Externality'!J304*$J$28</f>
        <v>10914.806500173296</v>
      </c>
      <c r="K48" s="29">
        <f>SUMPRODUCT($V$34:$V$36,'6 Externality'!K301:K303)+$V$37*'6 Externality'!K304*$J$28</f>
        <v>10914.806500173296</v>
      </c>
      <c r="L48" s="29">
        <f>SUMPRODUCT($V$34:$V$36,'6 Externality'!L301:L303)+$V$37*'6 Externality'!L304*$J$28</f>
        <v>10914.806500173296</v>
      </c>
      <c r="M48" s="29">
        <f>SUMPRODUCT($V$34:$V$36,'6 Externality'!M301:M303)+$V$37*'6 Externality'!M304*$J$28</f>
        <v>10914.806500173296</v>
      </c>
      <c r="N48" s="29">
        <f>SUMPRODUCT($V$34:$V$36,'6 Externality'!N301:N303)+$V$37*'6 Externality'!N304*$J$28</f>
        <v>10914.806500173296</v>
      </c>
      <c r="O48" s="29">
        <f>SUMPRODUCT($V$34:$V$36,'6 Externality'!O301:O303)+$V$37*'6 Externality'!O304*$J$28</f>
        <v>10914.806500173296</v>
      </c>
      <c r="P48" s="29">
        <f>SUMPRODUCT($V$34:$V$36,'6 Externality'!P301:P303)+$V$37*'6 Externality'!P304*$J$28</f>
        <v>10914.806500173296</v>
      </c>
      <c r="Q48" s="29">
        <f>SUMPRODUCT($V$34:$V$36,'6 Externality'!Q301:Q303)+$V$37*'6 Externality'!Q304*$J$28</f>
        <v>11459.974905926003</v>
      </c>
      <c r="R48" s="29">
        <f>SUMPRODUCT($V$34:$V$36,'6 Externality'!R301:R303)+$V$37*'6 Externality'!R304*$J$28</f>
        <v>10914.806500173296</v>
      </c>
      <c r="S48" s="29">
        <f>SUMPRODUCT($V$34:$V$36,'6 Externality'!S301:S303)+$V$37*'6 Externality'!S304*$J$28</f>
        <v>10914.806500173296</v>
      </c>
      <c r="T48" s="1938"/>
    </row>
    <row r="49" spans="1:20" ht="14.25" x14ac:dyDescent="0.3">
      <c r="A49" s="207"/>
      <c r="B49" s="387"/>
      <c r="C49" s="59" t="str">
        <f>IF('0 Úvod'!$M$10="English",Slovnik!D130,Slovnik!C130)</f>
        <v>Náklady na běžnou údržbu VODNÍ infrastruktury</v>
      </c>
      <c r="D49" s="255"/>
      <c r="E49" s="29"/>
      <c r="F49" s="29"/>
      <c r="G49" s="29"/>
      <c r="H49" s="29"/>
      <c r="I49" s="29"/>
      <c r="J49" s="29"/>
      <c r="K49" s="29"/>
      <c r="L49" s="29"/>
      <c r="M49" s="29"/>
      <c r="N49" s="29"/>
      <c r="O49" s="29"/>
      <c r="P49" s="29"/>
      <c r="Q49" s="29"/>
      <c r="R49" s="29"/>
      <c r="S49" s="29"/>
      <c r="T49" s="1938"/>
    </row>
    <row r="50" spans="1:20" ht="14.25" x14ac:dyDescent="0.3">
      <c r="A50" s="207"/>
      <c r="B50" s="387"/>
      <c r="C50" s="59" t="str">
        <f>IF('0 Úvod'!$M$10="English",Slovnik!D131,Slovnik!C131)</f>
        <v>Náklady na opravy VODNÍ infrastruktury</v>
      </c>
      <c r="D50" s="255"/>
      <c r="E50" s="29"/>
      <c r="F50" s="29"/>
      <c r="G50" s="29"/>
      <c r="H50" s="29"/>
      <c r="I50" s="29"/>
      <c r="J50" s="29"/>
      <c r="K50" s="29"/>
      <c r="L50" s="29"/>
      <c r="M50" s="29"/>
      <c r="N50" s="29"/>
      <c r="O50" s="29"/>
      <c r="P50" s="29"/>
      <c r="Q50" s="29"/>
      <c r="R50" s="29"/>
      <c r="S50" s="29"/>
      <c r="T50" s="1938"/>
    </row>
    <row r="51" spans="1:20" ht="14.25" x14ac:dyDescent="0.3">
      <c r="A51" s="207"/>
      <c r="B51" s="387"/>
      <c r="C51" s="59" t="str">
        <f>IF('0 Úvod'!$M$10="English",Slovnik!D731,Slovnik!C731)</f>
        <v>Náklady na běžnou údržbu OSTATNÍ infrastruktury</v>
      </c>
      <c r="D51" s="255"/>
      <c r="E51" s="29"/>
      <c r="F51" s="29"/>
      <c r="G51" s="29"/>
      <c r="H51" s="29"/>
      <c r="I51" s="29"/>
      <c r="J51" s="29"/>
      <c r="K51" s="29"/>
      <c r="L51" s="29"/>
      <c r="M51" s="29"/>
      <c r="N51" s="29"/>
      <c r="O51" s="29"/>
      <c r="P51" s="29"/>
      <c r="Q51" s="29"/>
      <c r="R51" s="29"/>
      <c r="S51" s="29"/>
      <c r="T51" s="1938"/>
    </row>
    <row r="52" spans="1:20" ht="14.25" x14ac:dyDescent="0.3">
      <c r="A52" s="207"/>
      <c r="B52" s="1713"/>
      <c r="C52" s="1829" t="str">
        <f>IF('0 Úvod'!$M$10="English",Slovnik!D732,Slovnik!C732)</f>
        <v>Náklady na opravy OSTATNÍ infrastruktury</v>
      </c>
      <c r="D52" s="1937"/>
      <c r="E52" s="29"/>
      <c r="F52" s="29"/>
      <c r="G52" s="29"/>
      <c r="H52" s="29"/>
      <c r="I52" s="29"/>
      <c r="J52" s="29"/>
      <c r="K52" s="29"/>
      <c r="L52" s="29"/>
      <c r="M52" s="29"/>
      <c r="N52" s="29"/>
      <c r="O52" s="29"/>
      <c r="P52" s="29"/>
      <c r="Q52" s="29"/>
      <c r="R52" s="29"/>
      <c r="S52" s="29"/>
      <c r="T52" s="1938"/>
    </row>
    <row r="53" spans="1:20" ht="15" thickBot="1" x14ac:dyDescent="0.35">
      <c r="A53" s="216"/>
      <c r="B53" s="1714"/>
      <c r="C53" s="1715" t="str">
        <f>IF('0 Úvod'!$M$10="English",Slovnik!D132,Slovnik!C132)</f>
        <v>Celkové PN infrastruktury</v>
      </c>
      <c r="D53" s="1716"/>
      <c r="E53" s="867">
        <f>SUM(E44:E52)</f>
        <v>12617743.735129498</v>
      </c>
      <c r="F53" s="1942">
        <f t="shared" ref="F53:S53" si="13">SUM(F44:F52)</f>
        <v>12790305.424365014</v>
      </c>
      <c r="G53" s="1942">
        <f t="shared" si="13"/>
        <v>12966431.626901204</v>
      </c>
      <c r="H53" s="1942">
        <f t="shared" si="13"/>
        <v>13146202.034345742</v>
      </c>
      <c r="I53" s="1942">
        <f t="shared" si="13"/>
        <v>13329698.153565383</v>
      </c>
      <c r="J53" s="1942">
        <f t="shared" si="13"/>
        <v>13517003.348206993</v>
      </c>
      <c r="K53" s="1942">
        <f t="shared" si="13"/>
        <v>13708202.8811692</v>
      </c>
      <c r="L53" s="1942">
        <f t="shared" si="13"/>
        <v>13903383.95804636</v>
      </c>
      <c r="M53" s="1942">
        <f t="shared" si="13"/>
        <v>14102635.771567177</v>
      </c>
      <c r="N53" s="1942">
        <f t="shared" si="13"/>
        <v>14306049.547050703</v>
      </c>
      <c r="O53" s="1942">
        <f t="shared" si="13"/>
        <v>14513718.588903058</v>
      </c>
      <c r="P53" s="1942">
        <f t="shared" si="13"/>
        <v>14725738.328178631</v>
      </c>
      <c r="Q53" s="1942">
        <f t="shared" si="13"/>
        <v>267542751.53963599</v>
      </c>
      <c r="R53" s="1942">
        <f t="shared" si="13"/>
        <v>15163222.549473094</v>
      </c>
      <c r="S53" s="1943">
        <f t="shared" si="13"/>
        <v>15388888.97028809</v>
      </c>
    </row>
    <row r="54" spans="1:20" x14ac:dyDescent="0.3">
      <c r="A54" s="216"/>
      <c r="B54" s="299"/>
      <c r="C54" s="216"/>
      <c r="D54" s="208"/>
      <c r="E54" s="220"/>
      <c r="F54" s="220"/>
      <c r="G54" s="220"/>
      <c r="H54" s="220"/>
      <c r="I54" s="220"/>
      <c r="J54" s="220"/>
      <c r="K54" s="220"/>
      <c r="L54" s="220"/>
      <c r="M54" s="220"/>
      <c r="N54" s="220"/>
      <c r="O54" s="220"/>
      <c r="P54" s="220"/>
      <c r="Q54" s="220"/>
      <c r="R54" s="220"/>
      <c r="S54" s="220"/>
    </row>
    <row r="55" spans="1:20" ht="14.25" thickBot="1" x14ac:dyDescent="0.35">
      <c r="A55" s="207"/>
      <c r="B55" s="299"/>
      <c r="D55" s="208"/>
      <c r="E55" s="208"/>
      <c r="F55" s="208"/>
      <c r="G55" s="208"/>
      <c r="H55" s="208"/>
      <c r="I55" s="208"/>
      <c r="J55" s="208"/>
      <c r="K55" s="208"/>
      <c r="L55" s="208"/>
      <c r="M55" s="208"/>
      <c r="N55" s="208"/>
      <c r="O55" s="208"/>
      <c r="P55" s="208"/>
      <c r="Q55" s="208"/>
      <c r="R55" s="208"/>
      <c r="S55" s="208"/>
    </row>
    <row r="56" spans="1:20" s="207" customFormat="1" ht="12.75" customHeight="1" x14ac:dyDescent="0.3">
      <c r="B56" s="400" t="s">
        <v>32</v>
      </c>
      <c r="C56" s="243" t="str">
        <f>IF('0 Úvod'!$M$10="English",Slovnik!D135,Slovnik!C135)</f>
        <v>Přírůstkové celkové provozní náklady (CZK)</v>
      </c>
      <c r="D56" s="244"/>
      <c r="E56" s="2327">
        <f>E2</f>
        <v>2021</v>
      </c>
      <c r="F56" s="2312">
        <f t="shared" ref="F56:S56" si="14">E56+1</f>
        <v>2022</v>
      </c>
      <c r="G56" s="2312">
        <f t="shared" si="14"/>
        <v>2023</v>
      </c>
      <c r="H56" s="2312">
        <f t="shared" si="14"/>
        <v>2024</v>
      </c>
      <c r="I56" s="2312">
        <f t="shared" si="14"/>
        <v>2025</v>
      </c>
      <c r="J56" s="2312">
        <f t="shared" si="14"/>
        <v>2026</v>
      </c>
      <c r="K56" s="2312">
        <f t="shared" si="14"/>
        <v>2027</v>
      </c>
      <c r="L56" s="2312">
        <f t="shared" si="14"/>
        <v>2028</v>
      </c>
      <c r="M56" s="2312">
        <f t="shared" si="14"/>
        <v>2029</v>
      </c>
      <c r="N56" s="2312">
        <f t="shared" si="14"/>
        <v>2030</v>
      </c>
      <c r="O56" s="2312">
        <f t="shared" si="14"/>
        <v>2031</v>
      </c>
      <c r="P56" s="2312">
        <f t="shared" si="14"/>
        <v>2032</v>
      </c>
      <c r="Q56" s="2312">
        <f t="shared" si="14"/>
        <v>2033</v>
      </c>
      <c r="R56" s="2312">
        <f t="shared" si="14"/>
        <v>2034</v>
      </c>
      <c r="S56" s="2317">
        <f t="shared" si="14"/>
        <v>2035</v>
      </c>
    </row>
    <row r="57" spans="1:20" s="207" customFormat="1" ht="12.75" customHeight="1" thickBot="1" x14ac:dyDescent="0.35">
      <c r="B57" s="245" t="s">
        <v>23</v>
      </c>
      <c r="C57" s="246"/>
      <c r="D57" s="247" t="str">
        <f>D30</f>
        <v>Celkem</v>
      </c>
      <c r="E57" s="2328"/>
      <c r="F57" s="2313"/>
      <c r="G57" s="2313"/>
      <c r="H57" s="2313"/>
      <c r="I57" s="2313"/>
      <c r="J57" s="2313"/>
      <c r="K57" s="2313"/>
      <c r="L57" s="2313"/>
      <c r="M57" s="2313"/>
      <c r="N57" s="2313"/>
      <c r="O57" s="2313"/>
      <c r="P57" s="2313"/>
      <c r="Q57" s="2313"/>
      <c r="R57" s="2313"/>
      <c r="S57" s="2318"/>
    </row>
    <row r="58" spans="1:20" s="207" customFormat="1" ht="12.75" customHeight="1" x14ac:dyDescent="0.3">
      <c r="A58" s="226"/>
      <c r="B58" s="383"/>
      <c r="C58" s="59" t="str">
        <f>IF('0 Úvod'!$M$10="English",Slovnik!D125,Slovnik!C125)</f>
        <v>Náklady na údržbu a opravy - ŽELEZNIČNÍ infrastruktura</v>
      </c>
      <c r="D58" s="378">
        <f t="shared" ref="D58:D64" si="15">SUM(E58:S58,E71:S71)</f>
        <v>-30592097.323660821</v>
      </c>
      <c r="E58" s="391">
        <f t="shared" ref="E58:S58" si="16">E4-E31</f>
        <v>0</v>
      </c>
      <c r="F58" s="392">
        <f t="shared" si="16"/>
        <v>0</v>
      </c>
      <c r="G58" s="392">
        <f t="shared" si="16"/>
        <v>-1071132.515075434</v>
      </c>
      <c r="H58" s="392">
        <f t="shared" si="16"/>
        <v>-1072652.8498773426</v>
      </c>
      <c r="I58" s="392">
        <f t="shared" si="16"/>
        <v>-1074180.7863532621</v>
      </c>
      <c r="J58" s="392">
        <f t="shared" si="16"/>
        <v>-1075716.3625115603</v>
      </c>
      <c r="K58" s="392">
        <f t="shared" si="16"/>
        <v>-1077259.6165506504</v>
      </c>
      <c r="L58" s="392">
        <f t="shared" si="16"/>
        <v>-1078810.586859935</v>
      </c>
      <c r="M58" s="392">
        <f t="shared" si="16"/>
        <v>-1080369.3120207675</v>
      </c>
      <c r="N58" s="392">
        <f t="shared" si="16"/>
        <v>-1081935.8308074037</v>
      </c>
      <c r="O58" s="392">
        <f t="shared" si="16"/>
        <v>-1083510.1821879726</v>
      </c>
      <c r="P58" s="392">
        <f t="shared" si="16"/>
        <v>-1085092.4053254453</v>
      </c>
      <c r="Q58" s="392">
        <f t="shared" si="16"/>
        <v>-1086682.5395786036</v>
      </c>
      <c r="R58" s="392">
        <f t="shared" si="16"/>
        <v>-1088280.6245030286</v>
      </c>
      <c r="S58" s="393">
        <f t="shared" si="16"/>
        <v>-1089886.6998520764</v>
      </c>
    </row>
    <row r="59" spans="1:20" s="207" customFormat="1" ht="12.75" customHeight="1" x14ac:dyDescent="0.3">
      <c r="A59" s="226"/>
      <c r="B59" s="384"/>
      <c r="C59" s="74" t="str">
        <f>IF('0 Úvod'!$M$10="English",Slovnik!D126,Slovnik!C126)</f>
        <v>Reinvestice (obnova) - ŽELEZNIČNÍ infrastruktura</v>
      </c>
      <c r="D59" s="379">
        <f t="shared" si="15"/>
        <v>-119523226.97176528</v>
      </c>
      <c r="E59" s="394">
        <f t="shared" ref="E59:S59" si="17">E5-E32</f>
        <v>0</v>
      </c>
      <c r="F59" s="395">
        <f t="shared" si="17"/>
        <v>0</v>
      </c>
      <c r="G59" s="395">
        <f t="shared" si="17"/>
        <v>-252600000</v>
      </c>
      <c r="H59" s="395">
        <f t="shared" si="17"/>
        <v>0</v>
      </c>
      <c r="I59" s="395">
        <f t="shared" si="17"/>
        <v>0</v>
      </c>
      <c r="J59" s="395">
        <f t="shared" si="17"/>
        <v>0</v>
      </c>
      <c r="K59" s="395">
        <f t="shared" si="17"/>
        <v>0</v>
      </c>
      <c r="L59" s="395">
        <f t="shared" si="17"/>
        <v>0</v>
      </c>
      <c r="M59" s="395">
        <f t="shared" si="17"/>
        <v>-129800000</v>
      </c>
      <c r="N59" s="395">
        <f t="shared" si="17"/>
        <v>0</v>
      </c>
      <c r="O59" s="395">
        <f t="shared" si="17"/>
        <v>0</v>
      </c>
      <c r="P59" s="395">
        <f t="shared" si="17"/>
        <v>0</v>
      </c>
      <c r="Q59" s="395">
        <f t="shared" si="17"/>
        <v>0</v>
      </c>
      <c r="R59" s="395">
        <f t="shared" si="17"/>
        <v>0</v>
      </c>
      <c r="S59" s="396">
        <f t="shared" si="17"/>
        <v>0</v>
      </c>
    </row>
    <row r="60" spans="1:20" s="207" customFormat="1" ht="12.75" customHeight="1" x14ac:dyDescent="0.3">
      <c r="A60" s="226"/>
      <c r="B60" s="384"/>
      <c r="C60" s="254" t="str">
        <f>IF('0 Úvod'!$M$10="English",Slovnik!D127,Slovnik!C127)</f>
        <v>Náklady na řízení provozu - ŽELEZNIČNÍ doprava</v>
      </c>
      <c r="D60" s="379">
        <f t="shared" si="15"/>
        <v>0</v>
      </c>
      <c r="E60" s="394">
        <f t="shared" ref="E60:S60" si="18">E6-E33</f>
        <v>0</v>
      </c>
      <c r="F60" s="395">
        <f t="shared" si="18"/>
        <v>0</v>
      </c>
      <c r="G60" s="395">
        <f t="shared" si="18"/>
        <v>0</v>
      </c>
      <c r="H60" s="395">
        <f t="shared" si="18"/>
        <v>0</v>
      </c>
      <c r="I60" s="395">
        <f t="shared" si="18"/>
        <v>0</v>
      </c>
      <c r="J60" s="395">
        <f t="shared" si="18"/>
        <v>0</v>
      </c>
      <c r="K60" s="395">
        <f t="shared" si="18"/>
        <v>0</v>
      </c>
      <c r="L60" s="395">
        <f t="shared" si="18"/>
        <v>0</v>
      </c>
      <c r="M60" s="395">
        <f t="shared" si="18"/>
        <v>0</v>
      </c>
      <c r="N60" s="395">
        <f t="shared" si="18"/>
        <v>0</v>
      </c>
      <c r="O60" s="395">
        <f t="shared" si="18"/>
        <v>0</v>
      </c>
      <c r="P60" s="395">
        <f t="shared" si="18"/>
        <v>0</v>
      </c>
      <c r="Q60" s="395">
        <f t="shared" si="18"/>
        <v>0</v>
      </c>
      <c r="R60" s="395">
        <f t="shared" si="18"/>
        <v>0</v>
      </c>
      <c r="S60" s="396">
        <f t="shared" si="18"/>
        <v>0</v>
      </c>
    </row>
    <row r="61" spans="1:20" s="207" customFormat="1" ht="12.75" customHeight="1" x14ac:dyDescent="0.3">
      <c r="A61" s="226"/>
      <c r="B61" s="384"/>
      <c r="C61" s="59" t="str">
        <f>IF(PINFRA="SILNIČNÍ",IF('0 Úvod'!$M$10="English",Slovnik!D764,Slovnik!C764),IF(SUM('Vstupy z HDM-4 a EXNAD'!H8:H37)=0,IF('0 Úvod'!$M$10="English",Slovnik!D128,Slovnik!C128),IF('0 Úvod'!$M$10="English",Slovnik!D764,Slovnik!C764)))</f>
        <v>Náklady na běžnou údržbu - SILNIČNÍ infrastruktura</v>
      </c>
      <c r="D61" s="379">
        <f t="shared" si="15"/>
        <v>0</v>
      </c>
      <c r="E61" s="394">
        <f>(E7-E34)+IF('Vstupy z HDM-4 a EXNAD'!H8=0,0,IF(E56&lt;'0 Úvod'!$G$20,(('Vstupy z HDM-4 a EXNAD'!H8-'Vstupy z HDM-4 a EXNAD'!C8)/'12 Ekonomická analýza (ERR)'!F21*1000000)-'1 CIN'!G11,('Vstupy z HDM-4 a EXNAD'!H8-'Vstupy z HDM-4 a EXNAD'!C8)/'12 Ekonomická analýza (ERR)'!F21*1000000))</f>
        <v>0</v>
      </c>
      <c r="F61" s="395">
        <f>(F7-F34)+IF('Vstupy z HDM-4 a EXNAD'!H9=0,0,IF(F56&lt;'0 Úvod'!$G$20,(('Vstupy z HDM-4 a EXNAD'!$H9-'Vstupy z HDM-4 a EXNAD'!$C9)/'12 Ekonomická analýza (ERR)'!G21*1000000)-'1 CIN'!H11,('Vstupy z HDM-4 a EXNAD'!H9-'Vstupy z HDM-4 a EXNAD'!C9)/'12 Ekonomická analýza (ERR)'!G21*1000000))</f>
        <v>0</v>
      </c>
      <c r="G61" s="395">
        <f>(G7-G34)+IF('Vstupy z HDM-4 a EXNAD'!H10=0,0,IF(G56&lt;'0 Úvod'!$G$20,(('Vstupy z HDM-4 a EXNAD'!$H10-'Vstupy z HDM-4 a EXNAD'!$C10)/'12 Ekonomická analýza (ERR)'!H21*1000000)-'1 CIN'!I11,('Vstupy z HDM-4 a EXNAD'!H10-'Vstupy z HDM-4 a EXNAD'!C10)/'12 Ekonomická analýza (ERR)'!H21*1000000))</f>
        <v>0</v>
      </c>
      <c r="H61" s="395">
        <f>(H7-H34)+IF('Vstupy z HDM-4 a EXNAD'!H11=0,0,IF(H56&lt;'0 Úvod'!$G$20,(('Vstupy z HDM-4 a EXNAD'!$H11-'Vstupy z HDM-4 a EXNAD'!$C11)/'12 Ekonomická analýza (ERR)'!I21*1000000)-'1 CIN'!J11,('Vstupy z HDM-4 a EXNAD'!H11-'Vstupy z HDM-4 a EXNAD'!C11)/'12 Ekonomická analýza (ERR)'!I21*1000000))</f>
        <v>0</v>
      </c>
      <c r="I61" s="395">
        <f>(I7-I34)+IF('Vstupy z HDM-4 a EXNAD'!H12=0,0,IF(I56&lt;'0 Úvod'!$G$20,(('Vstupy z HDM-4 a EXNAD'!$H12-'Vstupy z HDM-4 a EXNAD'!$C12)/'12 Ekonomická analýza (ERR)'!J21*1000000)-'1 CIN'!K11,('Vstupy z HDM-4 a EXNAD'!H12-'Vstupy z HDM-4 a EXNAD'!C12)/'12 Ekonomická analýza (ERR)'!J21*1000000))</f>
        <v>0</v>
      </c>
      <c r="J61" s="395">
        <f>(J7-J34)+IF('Vstupy z HDM-4 a EXNAD'!H13=0,0,IF(J56&lt;'0 Úvod'!$G$20,(('Vstupy z HDM-4 a EXNAD'!$H13-'Vstupy z HDM-4 a EXNAD'!$C13)/'12 Ekonomická analýza (ERR)'!K21*1000000)-'1 CIN'!L11,('Vstupy z HDM-4 a EXNAD'!H13-'Vstupy z HDM-4 a EXNAD'!C13)/'12 Ekonomická analýza (ERR)'!K21*1000000))</f>
        <v>0</v>
      </c>
      <c r="K61" s="395">
        <f>(K7-K34)+IF('Vstupy z HDM-4 a EXNAD'!H14=0,0,IF(K56&lt;'0 Úvod'!$G$20,(('Vstupy z HDM-4 a EXNAD'!$H14-'Vstupy z HDM-4 a EXNAD'!$C14)/'12 Ekonomická analýza (ERR)'!L21*1000000)-'1 CIN'!M11,('Vstupy z HDM-4 a EXNAD'!H14-'Vstupy z HDM-4 a EXNAD'!C14)/'12 Ekonomická analýza (ERR)'!L21*1000000))</f>
        <v>0</v>
      </c>
      <c r="L61" s="395">
        <f>(L7-L34)+IF('Vstupy z HDM-4 a EXNAD'!H15=0,0,IF(L56&lt;'0 Úvod'!$G$20,(('Vstupy z HDM-4 a EXNAD'!$H15-'Vstupy z HDM-4 a EXNAD'!$C15)/'12 Ekonomická analýza (ERR)'!M21*1000000)-'1 CIN'!N11,('Vstupy z HDM-4 a EXNAD'!H15-'Vstupy z HDM-4 a EXNAD'!C15)/'12 Ekonomická analýza (ERR)'!M21*1000000))</f>
        <v>0</v>
      </c>
      <c r="M61" s="395">
        <f>(M7-M34)+IF('Vstupy z HDM-4 a EXNAD'!H16=0,0,IF(M56&lt;'0 Úvod'!$G$20,(('Vstupy z HDM-4 a EXNAD'!$H16-'Vstupy z HDM-4 a EXNAD'!$C16)/'12 Ekonomická analýza (ERR)'!N21*1000000)-'1 CIN'!O11,('Vstupy z HDM-4 a EXNAD'!H16-'Vstupy z HDM-4 a EXNAD'!C16)/'12 Ekonomická analýza (ERR)'!N21*1000000))</f>
        <v>0</v>
      </c>
      <c r="N61" s="395">
        <f>(N7-N34)+IF('Vstupy z HDM-4 a EXNAD'!H17=0,0,IF(N56&lt;'0 Úvod'!$G$20,(('Vstupy z HDM-4 a EXNAD'!$H17-'Vstupy z HDM-4 a EXNAD'!$C17)/'12 Ekonomická analýza (ERR)'!O21*1000000)-'1 CIN'!P11,('Vstupy z HDM-4 a EXNAD'!H17-'Vstupy z HDM-4 a EXNAD'!C17)/'12 Ekonomická analýza (ERR)'!O21*1000000))</f>
        <v>0</v>
      </c>
      <c r="O61" s="395">
        <f>(O7-O34)+IF('Vstupy z HDM-4 a EXNAD'!H18=0,0,IF(O56&lt;'0 Úvod'!$G$20,(('Vstupy z HDM-4 a EXNAD'!$H18-'Vstupy z HDM-4 a EXNAD'!$C18)/'12 Ekonomická analýza (ERR)'!P21*1000000)-'1 CIN'!Q11,('Vstupy z HDM-4 a EXNAD'!H18-'Vstupy z HDM-4 a EXNAD'!C18)/'12 Ekonomická analýza (ERR)'!P21*1000000))</f>
        <v>0</v>
      </c>
      <c r="P61" s="395">
        <f>(P7-P34)+IF('Vstupy z HDM-4 a EXNAD'!H19=0,0,IF(P56&lt;'0 Úvod'!$G$20,(('Vstupy z HDM-4 a EXNAD'!$H19-'Vstupy z HDM-4 a EXNAD'!$C19)/'12 Ekonomická analýza (ERR)'!Q21*1000000)-'1 CIN'!R11,('Vstupy z HDM-4 a EXNAD'!H19-'Vstupy z HDM-4 a EXNAD'!C19)/'12 Ekonomická analýza (ERR)'!Q21*1000000))</f>
        <v>0</v>
      </c>
      <c r="Q61" s="395">
        <f>(Q7-Q34)+IF('Vstupy z HDM-4 a EXNAD'!H20=0,0,IF(Q56&lt;'0 Úvod'!$G$20,(('Vstupy z HDM-4 a EXNAD'!$H20-'Vstupy z HDM-4 a EXNAD'!$C20)/'12 Ekonomická analýza (ERR)'!R21*1000000)-'1 CIN'!S11,('Vstupy z HDM-4 a EXNAD'!H20-'Vstupy z HDM-4 a EXNAD'!C20)/'12 Ekonomická analýza (ERR)'!R21*1000000))</f>
        <v>0</v>
      </c>
      <c r="R61" s="395">
        <f>(R7-R34)+IF('Vstupy z HDM-4 a EXNAD'!H21=0,0,IF(R56&lt;'0 Úvod'!$G$20,(('Vstupy z HDM-4 a EXNAD'!$H21-'Vstupy z HDM-4 a EXNAD'!$C21)/'12 Ekonomická analýza (ERR)'!S21*1000000)-'1 CIN'!T11,('Vstupy z HDM-4 a EXNAD'!H21-'Vstupy z HDM-4 a EXNAD'!C21)/'12 Ekonomická analýza (ERR)'!S21*1000000))</f>
        <v>0</v>
      </c>
      <c r="S61" s="396">
        <f>(S7-S34)+IF('Vstupy z HDM-4 a EXNAD'!H22=0,0,IF(S56&lt;'0 Úvod'!$G$20,(('Vstupy z HDM-4 a EXNAD'!$H22-'Vstupy z HDM-4 a EXNAD'!$C22)/'12 Ekonomická analýza (ERR)'!T21*1000000)-'1 CIN'!U11,('Vstupy z HDM-4 a EXNAD'!H22-'Vstupy z HDM-4 a EXNAD'!C22)/'12 Ekonomická analýza (ERR)'!T21*1000000))</f>
        <v>0</v>
      </c>
    </row>
    <row r="62" spans="1:20" s="207" customFormat="1" ht="12.75" customHeight="1" x14ac:dyDescent="0.3">
      <c r="A62" s="226"/>
      <c r="B62" s="384"/>
      <c r="C62" s="59" t="str">
        <f>IF(PINFRA="SILNIČNÍ"," ",IF(SUM('Vstupy z HDM-4 a EXNAD'!H8:H37)=0,IF('0 Úvod'!$M$10="English",Slovnik!D129,Slovnik!C129)," "))</f>
        <v>Náklady na opravy - SILNIČNÍ infrastruktura</v>
      </c>
      <c r="D62" s="379">
        <f t="shared" si="15"/>
        <v>-273960.49931583775</v>
      </c>
      <c r="E62" s="394">
        <f t="shared" ref="E62:S62" si="19">E8-E35</f>
        <v>0</v>
      </c>
      <c r="F62" s="395">
        <f t="shared" si="19"/>
        <v>0</v>
      </c>
      <c r="G62" s="395">
        <f t="shared" si="19"/>
        <v>-545.16840575270635</v>
      </c>
      <c r="H62" s="395">
        <f t="shared" si="19"/>
        <v>0</v>
      </c>
      <c r="I62" s="395">
        <f t="shared" si="19"/>
        <v>0</v>
      </c>
      <c r="J62" s="395">
        <f t="shared" si="19"/>
        <v>-10914.806500173296</v>
      </c>
      <c r="K62" s="395">
        <f t="shared" si="19"/>
        <v>-10914.806500173296</v>
      </c>
      <c r="L62" s="395">
        <f t="shared" si="19"/>
        <v>-10914.806500173296</v>
      </c>
      <c r="M62" s="395">
        <f t="shared" si="19"/>
        <v>-10914.806500173296</v>
      </c>
      <c r="N62" s="395">
        <f t="shared" si="19"/>
        <v>-10914.806500173296</v>
      </c>
      <c r="O62" s="395">
        <f t="shared" si="19"/>
        <v>-10914.806500173296</v>
      </c>
      <c r="P62" s="395">
        <f t="shared" si="19"/>
        <v>-10914.806500173296</v>
      </c>
      <c r="Q62" s="395">
        <f t="shared" si="19"/>
        <v>-10914.806500173296</v>
      </c>
      <c r="R62" s="395">
        <f t="shared" si="19"/>
        <v>-10914.806500173296</v>
      </c>
      <c r="S62" s="396">
        <f t="shared" si="19"/>
        <v>-10914.806500173296</v>
      </c>
    </row>
    <row r="63" spans="1:20" s="207" customFormat="1" ht="12.75" customHeight="1" x14ac:dyDescent="0.3">
      <c r="A63" s="226"/>
      <c r="B63" s="384"/>
      <c r="C63" s="59" t="str">
        <f>IF('0 Úvod'!$M$10="English",Slovnik!D130,Slovnik!C130)</f>
        <v>Náklady na běžnou údržbu VODNÍ infrastruktury</v>
      </c>
      <c r="D63" s="379">
        <f t="shared" si="15"/>
        <v>0</v>
      </c>
      <c r="E63" s="394">
        <f t="shared" ref="E63:S63" si="20">E9-E36</f>
        <v>0</v>
      </c>
      <c r="F63" s="395">
        <f t="shared" si="20"/>
        <v>0</v>
      </c>
      <c r="G63" s="395">
        <f t="shared" si="20"/>
        <v>0</v>
      </c>
      <c r="H63" s="395">
        <f t="shared" si="20"/>
        <v>0</v>
      </c>
      <c r="I63" s="395">
        <f t="shared" si="20"/>
        <v>0</v>
      </c>
      <c r="J63" s="395">
        <f t="shared" si="20"/>
        <v>0</v>
      </c>
      <c r="K63" s="395">
        <f t="shared" si="20"/>
        <v>0</v>
      </c>
      <c r="L63" s="395">
        <f t="shared" si="20"/>
        <v>0</v>
      </c>
      <c r="M63" s="395">
        <f t="shared" si="20"/>
        <v>0</v>
      </c>
      <c r="N63" s="395">
        <f t="shared" si="20"/>
        <v>0</v>
      </c>
      <c r="O63" s="395">
        <f t="shared" si="20"/>
        <v>0</v>
      </c>
      <c r="P63" s="395">
        <f t="shared" si="20"/>
        <v>0</v>
      </c>
      <c r="Q63" s="395">
        <f t="shared" si="20"/>
        <v>0</v>
      </c>
      <c r="R63" s="395">
        <f t="shared" si="20"/>
        <v>0</v>
      </c>
      <c r="S63" s="396">
        <f t="shared" si="20"/>
        <v>0</v>
      </c>
    </row>
    <row r="64" spans="1:20" s="207" customFormat="1" ht="12.75" customHeight="1" x14ac:dyDescent="0.3">
      <c r="A64" s="226"/>
      <c r="B64" s="384"/>
      <c r="C64" s="59" t="str">
        <f>IF('0 Úvod'!$M$10="English",Slovnik!D131,Slovnik!C131)</f>
        <v>Náklady na opravy VODNÍ infrastruktury</v>
      </c>
      <c r="D64" s="379">
        <f t="shared" si="15"/>
        <v>0</v>
      </c>
      <c r="E64" s="394">
        <f t="shared" ref="E64:S64" si="21">E10-E37</f>
        <v>0</v>
      </c>
      <c r="F64" s="395">
        <f t="shared" si="21"/>
        <v>0</v>
      </c>
      <c r="G64" s="395">
        <f t="shared" si="21"/>
        <v>0</v>
      </c>
      <c r="H64" s="395">
        <f t="shared" si="21"/>
        <v>0</v>
      </c>
      <c r="I64" s="395">
        <f t="shared" si="21"/>
        <v>0</v>
      </c>
      <c r="J64" s="395">
        <f t="shared" si="21"/>
        <v>0</v>
      </c>
      <c r="K64" s="395">
        <f t="shared" si="21"/>
        <v>0</v>
      </c>
      <c r="L64" s="395">
        <f t="shared" si="21"/>
        <v>0</v>
      </c>
      <c r="M64" s="395">
        <f t="shared" si="21"/>
        <v>0</v>
      </c>
      <c r="N64" s="395">
        <f t="shared" si="21"/>
        <v>0</v>
      </c>
      <c r="O64" s="395">
        <f t="shared" si="21"/>
        <v>0</v>
      </c>
      <c r="P64" s="395">
        <f t="shared" si="21"/>
        <v>0</v>
      </c>
      <c r="Q64" s="395">
        <f t="shared" si="21"/>
        <v>0</v>
      </c>
      <c r="R64" s="395">
        <f t="shared" si="21"/>
        <v>0</v>
      </c>
      <c r="S64" s="396">
        <f t="shared" si="21"/>
        <v>0</v>
      </c>
    </row>
    <row r="65" spans="1:26" s="207" customFormat="1" ht="12.75" customHeight="1" x14ac:dyDescent="0.3">
      <c r="A65" s="226"/>
      <c r="B65" s="384"/>
      <c r="C65" s="59" t="str">
        <f>IF('0 Úvod'!$M$10="English",Slovnik!D731,Slovnik!C731)</f>
        <v>Náklady na běžnou údržbu OSTATNÍ infrastruktury</v>
      </c>
      <c r="D65" s="379">
        <f t="shared" ref="D65:D66" si="22">SUM(E65:S65,E78:S78)</f>
        <v>0</v>
      </c>
      <c r="E65" s="394">
        <f t="shared" ref="E65" si="23">E11-E38</f>
        <v>0</v>
      </c>
      <c r="F65" s="395">
        <f t="shared" ref="F65:S65" si="24">F11-F38</f>
        <v>0</v>
      </c>
      <c r="G65" s="395">
        <f t="shared" si="24"/>
        <v>0</v>
      </c>
      <c r="H65" s="395">
        <f t="shared" si="24"/>
        <v>0</v>
      </c>
      <c r="I65" s="395">
        <f t="shared" si="24"/>
        <v>0</v>
      </c>
      <c r="J65" s="395">
        <f t="shared" si="24"/>
        <v>0</v>
      </c>
      <c r="K65" s="395">
        <f t="shared" si="24"/>
        <v>0</v>
      </c>
      <c r="L65" s="395">
        <f t="shared" si="24"/>
        <v>0</v>
      </c>
      <c r="M65" s="395">
        <f t="shared" si="24"/>
        <v>0</v>
      </c>
      <c r="N65" s="395">
        <f t="shared" si="24"/>
        <v>0</v>
      </c>
      <c r="O65" s="395">
        <f t="shared" si="24"/>
        <v>0</v>
      </c>
      <c r="P65" s="395">
        <f t="shared" si="24"/>
        <v>0</v>
      </c>
      <c r="Q65" s="395">
        <f t="shared" si="24"/>
        <v>0</v>
      </c>
      <c r="R65" s="395">
        <f t="shared" si="24"/>
        <v>0</v>
      </c>
      <c r="S65" s="396">
        <f t="shared" si="24"/>
        <v>0</v>
      </c>
    </row>
    <row r="66" spans="1:26" s="207" customFormat="1" ht="12.75" customHeight="1" x14ac:dyDescent="0.3">
      <c r="A66" s="226"/>
      <c r="B66" s="384"/>
      <c r="C66" s="59" t="str">
        <f>IF('0 Úvod'!$M$10="English",Slovnik!D732,Slovnik!C732)</f>
        <v>Náklady na opravy OSTATNÍ infrastruktury</v>
      </c>
      <c r="D66" s="379">
        <f t="shared" si="22"/>
        <v>0</v>
      </c>
      <c r="E66" s="394">
        <f t="shared" ref="E66" si="25">E12-E39</f>
        <v>0</v>
      </c>
      <c r="F66" s="395">
        <f t="shared" ref="F66:S66" si="26">F12-F39</f>
        <v>0</v>
      </c>
      <c r="G66" s="395">
        <f t="shared" si="26"/>
        <v>0</v>
      </c>
      <c r="H66" s="395">
        <f t="shared" si="26"/>
        <v>0</v>
      </c>
      <c r="I66" s="395">
        <f t="shared" si="26"/>
        <v>0</v>
      </c>
      <c r="J66" s="395">
        <f t="shared" si="26"/>
        <v>0</v>
      </c>
      <c r="K66" s="395">
        <f t="shared" si="26"/>
        <v>0</v>
      </c>
      <c r="L66" s="395">
        <f t="shared" si="26"/>
        <v>0</v>
      </c>
      <c r="M66" s="395">
        <f t="shared" si="26"/>
        <v>0</v>
      </c>
      <c r="N66" s="395">
        <f t="shared" si="26"/>
        <v>0</v>
      </c>
      <c r="O66" s="395">
        <f t="shared" si="26"/>
        <v>0</v>
      </c>
      <c r="P66" s="395">
        <f t="shared" si="26"/>
        <v>0</v>
      </c>
      <c r="Q66" s="395">
        <f t="shared" si="26"/>
        <v>0</v>
      </c>
      <c r="R66" s="395">
        <f t="shared" si="26"/>
        <v>0</v>
      </c>
      <c r="S66" s="396">
        <f t="shared" si="26"/>
        <v>0</v>
      </c>
    </row>
    <row r="67" spans="1:26" ht="15" thickBot="1" x14ac:dyDescent="0.35">
      <c r="A67" s="207"/>
      <c r="B67" s="388"/>
      <c r="C67" s="389" t="str">
        <f>IF('0 Úvod'!$M$10="English",Slovnik!D136,Slovnik!C136)</f>
        <v>Přírůstkové celkové PN infrastruktury</v>
      </c>
      <c r="D67" s="390">
        <f t="shared" ref="D67" si="27">SUM(E67:S67,E80:S80)</f>
        <v>-150389284.79474184</v>
      </c>
      <c r="E67" s="397">
        <f t="shared" ref="E67:S67" si="28">E13-E40</f>
        <v>0</v>
      </c>
      <c r="F67" s="398">
        <f t="shared" si="28"/>
        <v>0</v>
      </c>
      <c r="G67" s="398">
        <f t="shared" si="28"/>
        <v>-253671677.68348116</v>
      </c>
      <c r="H67" s="398">
        <f t="shared" si="28"/>
        <v>-1072652.8498773426</v>
      </c>
      <c r="I67" s="398">
        <f t="shared" si="28"/>
        <v>-1074180.786353264</v>
      </c>
      <c r="J67" s="398">
        <f t="shared" si="28"/>
        <v>-1086631.1690117344</v>
      </c>
      <c r="K67" s="398">
        <f t="shared" si="28"/>
        <v>-1088174.4230508246</v>
      </c>
      <c r="L67" s="398">
        <f t="shared" si="28"/>
        <v>-1089725.39336011</v>
      </c>
      <c r="M67" s="398">
        <f t="shared" si="28"/>
        <v>-130891284.11852095</v>
      </c>
      <c r="N67" s="398">
        <f t="shared" si="28"/>
        <v>-1092850.6373075787</v>
      </c>
      <c r="O67" s="398">
        <f t="shared" si="28"/>
        <v>-1094424.9886881467</v>
      </c>
      <c r="P67" s="398">
        <f t="shared" si="28"/>
        <v>-1096007.2118256204</v>
      </c>
      <c r="Q67" s="398">
        <f t="shared" si="28"/>
        <v>-1097597.3460787758</v>
      </c>
      <c r="R67" s="398">
        <f t="shared" si="28"/>
        <v>-1099195.4310032018</v>
      </c>
      <c r="S67" s="399">
        <f t="shared" si="28"/>
        <v>-1100801.5063522514</v>
      </c>
    </row>
    <row r="68" spans="1:26" ht="14.25" thickBot="1" x14ac:dyDescent="0.35">
      <c r="A68" s="207"/>
      <c r="B68" s="304"/>
      <c r="C68" s="207"/>
      <c r="D68" s="208"/>
      <c r="E68" s="1860"/>
      <c r="F68" s="1860"/>
      <c r="G68" s="1860"/>
      <c r="H68" s="1860"/>
      <c r="I68" s="1860"/>
      <c r="J68" s="1860"/>
      <c r="K68" s="1860"/>
      <c r="L68" s="1860"/>
      <c r="M68" s="1860"/>
      <c r="N68" s="1860"/>
      <c r="O68" s="1860"/>
      <c r="P68" s="1860"/>
      <c r="Q68" s="1860"/>
      <c r="R68" s="1860"/>
      <c r="S68" s="1860"/>
    </row>
    <row r="69" spans="1:26" s="207" customFormat="1" ht="12.75" customHeight="1" x14ac:dyDescent="0.3">
      <c r="B69" s="400" t="s">
        <v>32</v>
      </c>
      <c r="C69" s="243" t="str">
        <f>IF('0 Úvod'!$M$10="English",Slovnik!D135,Slovnik!C135)</f>
        <v>Přírůstkové celkové provozní náklady (CZK)</v>
      </c>
      <c r="D69" s="244"/>
      <c r="E69" s="2327">
        <f>S56+1</f>
        <v>2036</v>
      </c>
      <c r="F69" s="2312">
        <f t="shared" ref="F69:S69" si="29">E69+1</f>
        <v>2037</v>
      </c>
      <c r="G69" s="2312">
        <f t="shared" si="29"/>
        <v>2038</v>
      </c>
      <c r="H69" s="2312">
        <f t="shared" si="29"/>
        <v>2039</v>
      </c>
      <c r="I69" s="2312">
        <f t="shared" si="29"/>
        <v>2040</v>
      </c>
      <c r="J69" s="2312">
        <f t="shared" si="29"/>
        <v>2041</v>
      </c>
      <c r="K69" s="2312">
        <f t="shared" si="29"/>
        <v>2042</v>
      </c>
      <c r="L69" s="2312">
        <f t="shared" si="29"/>
        <v>2043</v>
      </c>
      <c r="M69" s="2312">
        <f t="shared" si="29"/>
        <v>2044</v>
      </c>
      <c r="N69" s="2312">
        <f t="shared" si="29"/>
        <v>2045</v>
      </c>
      <c r="O69" s="2312">
        <f t="shared" si="29"/>
        <v>2046</v>
      </c>
      <c r="P69" s="2312">
        <f t="shared" si="29"/>
        <v>2047</v>
      </c>
      <c r="Q69" s="2312">
        <f t="shared" si="29"/>
        <v>2048</v>
      </c>
      <c r="R69" s="2312">
        <f t="shared" si="29"/>
        <v>2049</v>
      </c>
      <c r="S69" s="2317">
        <f t="shared" si="29"/>
        <v>2050</v>
      </c>
    </row>
    <row r="70" spans="1:26" s="207" customFormat="1" ht="12.75" customHeight="1" thickBot="1" x14ac:dyDescent="0.35">
      <c r="B70" s="245" t="s">
        <v>24</v>
      </c>
      <c r="C70" s="246"/>
      <c r="D70" s="401"/>
      <c r="E70" s="2328">
        <f>S57+1</f>
        <v>1</v>
      </c>
      <c r="F70" s="2313"/>
      <c r="G70" s="2313"/>
      <c r="H70" s="2313"/>
      <c r="I70" s="2313"/>
      <c r="J70" s="2313"/>
      <c r="K70" s="2313"/>
      <c r="L70" s="2313"/>
      <c r="M70" s="2313"/>
      <c r="N70" s="2313"/>
      <c r="O70" s="2313"/>
      <c r="P70" s="2313"/>
      <c r="Q70" s="2313"/>
      <c r="R70" s="2313"/>
      <c r="S70" s="2318"/>
    </row>
    <row r="71" spans="1:26" s="207" customFormat="1" ht="12.75" customHeight="1" x14ac:dyDescent="0.3">
      <c r="A71" s="226"/>
      <c r="B71" s="383"/>
      <c r="C71" s="59" t="str">
        <f>IF('0 Úvod'!$M$10="English",Slovnik!D125,Slovnik!C125)</f>
        <v>Náklady na údržbu a opravy - ŽELEZNIČNÍ infrastruktura</v>
      </c>
      <c r="D71" s="385"/>
      <c r="E71" s="391">
        <f t="shared" ref="E71:S71" si="30">E17-E44</f>
        <v>-1091500.8055778695</v>
      </c>
      <c r="F71" s="392">
        <f t="shared" si="30"/>
        <v>-1093122.9818322891</v>
      </c>
      <c r="G71" s="392">
        <f t="shared" si="30"/>
        <v>-1094753.2689679824</v>
      </c>
      <c r="H71" s="392">
        <f t="shared" si="30"/>
        <v>-1096391.7075393554</v>
      </c>
      <c r="I71" s="392">
        <f t="shared" si="30"/>
        <v>-1098038.3383035837</v>
      </c>
      <c r="J71" s="392">
        <f t="shared" si="30"/>
        <v>-1099693.2022216357</v>
      </c>
      <c r="K71" s="392">
        <f t="shared" si="30"/>
        <v>-1101356.3404592751</v>
      </c>
      <c r="L71" s="392">
        <f t="shared" si="30"/>
        <v>-1103027.7943881024</v>
      </c>
      <c r="M71" s="392">
        <f t="shared" si="30"/>
        <v>-1104707.6055865753</v>
      </c>
      <c r="N71" s="392">
        <f t="shared" si="30"/>
        <v>-1106395.8158410406</v>
      </c>
      <c r="O71" s="392">
        <f t="shared" si="30"/>
        <v>-1108092.4671467775</v>
      </c>
      <c r="P71" s="392">
        <f t="shared" si="30"/>
        <v>-1109797.6017090445</v>
      </c>
      <c r="Q71" s="392">
        <f t="shared" si="30"/>
        <v>-1111511.2619441207</v>
      </c>
      <c r="R71" s="392">
        <f t="shared" si="30"/>
        <v>-1113233.4904803736</v>
      </c>
      <c r="S71" s="393">
        <f t="shared" si="30"/>
        <v>-1114964.3301593084</v>
      </c>
    </row>
    <row r="72" spans="1:26" s="207" customFormat="1" ht="12.75" customHeight="1" x14ac:dyDescent="0.3">
      <c r="A72" s="226"/>
      <c r="B72" s="383"/>
      <c r="C72" s="74" t="str">
        <f>IF('0 Úvod'!$M$10="English",Slovnik!D126,Slovnik!C126)</f>
        <v>Reinvestice (obnova) - ŽELEZNIČNÍ infrastruktura</v>
      </c>
      <c r="D72" s="386"/>
      <c r="E72" s="394">
        <f t="shared" ref="E72:S72" si="31">E18-E45</f>
        <v>0</v>
      </c>
      <c r="F72" s="395">
        <f t="shared" si="31"/>
        <v>0</v>
      </c>
      <c r="G72" s="395">
        <f t="shared" si="31"/>
        <v>0</v>
      </c>
      <c r="H72" s="395">
        <f t="shared" si="31"/>
        <v>0</v>
      </c>
      <c r="I72" s="395">
        <f t="shared" si="31"/>
        <v>0</v>
      </c>
      <c r="J72" s="395">
        <f t="shared" si="31"/>
        <v>0</v>
      </c>
      <c r="K72" s="395">
        <f t="shared" si="31"/>
        <v>0</v>
      </c>
      <c r="L72" s="395">
        <f t="shared" si="31"/>
        <v>7335038.0257286616</v>
      </c>
      <c r="M72" s="395">
        <f t="shared" si="31"/>
        <v>0</v>
      </c>
      <c r="N72" s="395">
        <f t="shared" si="31"/>
        <v>0</v>
      </c>
      <c r="O72" s="395">
        <f t="shared" si="31"/>
        <v>0</v>
      </c>
      <c r="P72" s="395">
        <f t="shared" si="31"/>
        <v>0</v>
      </c>
      <c r="Q72" s="395">
        <f t="shared" si="31"/>
        <v>117183269.20571339</v>
      </c>
      <c r="R72" s="395">
        <f t="shared" si="31"/>
        <v>0</v>
      </c>
      <c r="S72" s="396">
        <f t="shared" si="31"/>
        <v>138358465.79679269</v>
      </c>
      <c r="V72" s="305"/>
      <c r="W72" s="305"/>
      <c r="X72" s="305"/>
      <c r="Y72" s="305"/>
      <c r="Z72" s="305"/>
    </row>
    <row r="73" spans="1:26" s="207" customFormat="1" ht="12.75" customHeight="1" x14ac:dyDescent="0.3">
      <c r="A73" s="226"/>
      <c r="B73" s="358"/>
      <c r="C73" s="254" t="str">
        <f>IF('0 Úvod'!$M$10="English",Slovnik!D127,Slovnik!C127)</f>
        <v>Náklady na řízení provozu - ŽELEZNIČNÍ doprava</v>
      </c>
      <c r="D73" s="386"/>
      <c r="E73" s="394">
        <f t="shared" ref="E73:S73" si="32">E19-E46</f>
        <v>0</v>
      </c>
      <c r="F73" s="395">
        <f t="shared" si="32"/>
        <v>0</v>
      </c>
      <c r="G73" s="395">
        <f t="shared" si="32"/>
        <v>0</v>
      </c>
      <c r="H73" s="395">
        <f t="shared" si="32"/>
        <v>0</v>
      </c>
      <c r="I73" s="395">
        <f t="shared" si="32"/>
        <v>0</v>
      </c>
      <c r="J73" s="395">
        <f t="shared" si="32"/>
        <v>0</v>
      </c>
      <c r="K73" s="395">
        <f t="shared" si="32"/>
        <v>0</v>
      </c>
      <c r="L73" s="395">
        <f t="shared" si="32"/>
        <v>0</v>
      </c>
      <c r="M73" s="395">
        <f t="shared" si="32"/>
        <v>0</v>
      </c>
      <c r="N73" s="395">
        <f t="shared" si="32"/>
        <v>0</v>
      </c>
      <c r="O73" s="395">
        <f t="shared" si="32"/>
        <v>0</v>
      </c>
      <c r="P73" s="395">
        <f t="shared" si="32"/>
        <v>0</v>
      </c>
      <c r="Q73" s="395">
        <f t="shared" si="32"/>
        <v>0</v>
      </c>
      <c r="R73" s="395">
        <f t="shared" si="32"/>
        <v>0</v>
      </c>
      <c r="S73" s="396">
        <f t="shared" si="32"/>
        <v>0</v>
      </c>
      <c r="V73" s="305"/>
      <c r="W73" s="306"/>
      <c r="X73" s="306"/>
      <c r="Y73" s="306"/>
      <c r="Z73" s="305"/>
    </row>
    <row r="74" spans="1:26" s="207" customFormat="1" ht="12.75" customHeight="1" x14ac:dyDescent="0.3">
      <c r="A74" s="226"/>
      <c r="B74" s="358"/>
      <c r="C74" s="59" t="str">
        <f>IF(PINFRA="SILNIČNÍ",IF('0 Úvod'!$M$10="English",Slovnik!D764,Slovnik!C764),IF(SUM('Vstupy z HDM-4 a EXNAD'!H8:H37)=0,IF('0 Úvod'!$M$10="English",Slovnik!D128,Slovnik!C128),IF('0 Úvod'!$M$10="English",Slovnik!D764,Slovnik!C764)))</f>
        <v>Náklady na běžnou údržbu - SILNIČNÍ infrastruktura</v>
      </c>
      <c r="D74" s="386"/>
      <c r="E74" s="394">
        <f>(E20-E47)+IF('Vstupy z HDM-4 a EXNAD'!H23=0,0,IF(E69&lt;'0 Úvod'!$G$20,(('Vstupy z HDM-4 a EXNAD'!H23-'Vstupy z HDM-4 a EXNAD'!C23)/'12 Ekonomická analýza (ERR)'!F43*1000000)-'1 CIN'!G26,('Vstupy z HDM-4 a EXNAD'!H23-'Vstupy z HDM-4 a EXNAD'!C23)/'12 Ekonomická analýza (ERR)'!F43*1000000))</f>
        <v>0</v>
      </c>
      <c r="F74" s="395">
        <f>(F20-F47)+IF('Vstupy z HDM-4 a EXNAD'!H24=0,0,IF(F69&lt;'0 Úvod'!$G$20,(('Vstupy z HDM-4 a EXNAD'!$H24-'Vstupy z HDM-4 a EXNAD'!$C24)/'12 Ekonomická analýza (ERR)'!G43*1000000)-'1 CIN'!H26,('Vstupy z HDM-4 a EXNAD'!H24-'Vstupy z HDM-4 a EXNAD'!C24)/'12 Ekonomická analýza (ERR)'!G43*1000000))</f>
        <v>0</v>
      </c>
      <c r="G74" s="395">
        <f>(G20-G47)+IF('Vstupy z HDM-4 a EXNAD'!H25=0,0,IF(G69&lt;'0 Úvod'!$G$20,(('Vstupy z HDM-4 a EXNAD'!$H25-'Vstupy z HDM-4 a EXNAD'!$C25)/'12 Ekonomická analýza (ERR)'!H43*1000000)-'1 CIN'!I26,('Vstupy z HDM-4 a EXNAD'!H25-'Vstupy z HDM-4 a EXNAD'!C25)/'12 Ekonomická analýza (ERR)'!H43*1000000))</f>
        <v>0</v>
      </c>
      <c r="H74" s="395">
        <f>(H20-H47)+IF('Vstupy z HDM-4 a EXNAD'!H26=0,0,IF(H69&lt;'0 Úvod'!$G$20,(('Vstupy z HDM-4 a EXNAD'!$H26-'Vstupy z HDM-4 a EXNAD'!$C26)/'12 Ekonomická analýza (ERR)'!I43*1000000)-'1 CIN'!J26,('Vstupy z HDM-4 a EXNAD'!H26-'Vstupy z HDM-4 a EXNAD'!C26)/'12 Ekonomická analýza (ERR)'!I43*1000000))</f>
        <v>0</v>
      </c>
      <c r="I74" s="395">
        <f>(I20-I47)+IF('Vstupy z HDM-4 a EXNAD'!H27=0,0,IF(I69&lt;'0 Úvod'!$G$20,(('Vstupy z HDM-4 a EXNAD'!$H27-'Vstupy z HDM-4 a EXNAD'!$C27)/'12 Ekonomická analýza (ERR)'!J43*1000000)-'1 CIN'!K26,('Vstupy z HDM-4 a EXNAD'!H27-'Vstupy z HDM-4 a EXNAD'!C27)/'12 Ekonomická analýza (ERR)'!J43*1000000))</f>
        <v>0</v>
      </c>
      <c r="J74" s="395">
        <f>(J20-J47)+IF('Vstupy z HDM-4 a EXNAD'!H28=0,0,IF(J69&lt;'0 Úvod'!$G$20,(('Vstupy z HDM-4 a EXNAD'!$H28-'Vstupy z HDM-4 a EXNAD'!$C28)/'12 Ekonomická analýza (ERR)'!K43*1000000)-'1 CIN'!L26,('Vstupy z HDM-4 a EXNAD'!H28-'Vstupy z HDM-4 a EXNAD'!C28)/'12 Ekonomická analýza (ERR)'!K43*1000000))</f>
        <v>0</v>
      </c>
      <c r="K74" s="395">
        <f>(K20-K47)+IF('Vstupy z HDM-4 a EXNAD'!H29=0,0,IF(K69&lt;'0 Úvod'!$G$20,(('Vstupy z HDM-4 a EXNAD'!$H29-'Vstupy z HDM-4 a EXNAD'!$C29)/'12 Ekonomická analýza (ERR)'!L43*1000000)-'1 CIN'!M26,('Vstupy z HDM-4 a EXNAD'!H29-'Vstupy z HDM-4 a EXNAD'!C29)/'12 Ekonomická analýza (ERR)'!L43*1000000))</f>
        <v>0</v>
      </c>
      <c r="L74" s="395">
        <f>(L20-L47)+IF('Vstupy z HDM-4 a EXNAD'!H30=0,0,IF(L69&lt;'0 Úvod'!$G$20,(('Vstupy z HDM-4 a EXNAD'!$H30-'Vstupy z HDM-4 a EXNAD'!$C30)/'12 Ekonomická analýza (ERR)'!M43*1000000)-'1 CIN'!N26,('Vstupy z HDM-4 a EXNAD'!H30-'Vstupy z HDM-4 a EXNAD'!C30)/'12 Ekonomická analýza (ERR)'!M43*1000000))</f>
        <v>0</v>
      </c>
      <c r="M74" s="395">
        <f>(M20-M47)+IF('Vstupy z HDM-4 a EXNAD'!H31=0,0,IF(M69&lt;'0 Úvod'!$G$20,(('Vstupy z HDM-4 a EXNAD'!$H31-'Vstupy z HDM-4 a EXNAD'!$C31)/'12 Ekonomická analýza (ERR)'!N43*1000000)-'1 CIN'!O26,('Vstupy z HDM-4 a EXNAD'!H31-'Vstupy z HDM-4 a EXNAD'!C31)/'12 Ekonomická analýza (ERR)'!N43*1000000))</f>
        <v>0</v>
      </c>
      <c r="N74" s="395">
        <f>(N20-N47)+IF('Vstupy z HDM-4 a EXNAD'!H32=0,0,IF(N69&lt;'0 Úvod'!$G$20,(('Vstupy z HDM-4 a EXNAD'!$H32-'Vstupy z HDM-4 a EXNAD'!$C32)/'12 Ekonomická analýza (ERR)'!O43*1000000)-'1 CIN'!P26,('Vstupy z HDM-4 a EXNAD'!H32-'Vstupy z HDM-4 a EXNAD'!C32)/'12 Ekonomická analýza (ERR)'!O43*1000000))</f>
        <v>0</v>
      </c>
      <c r="O74" s="395">
        <f>(O20-O47)+IF('Vstupy z HDM-4 a EXNAD'!H33=0,0,IF(O69&lt;'0 Úvod'!$G$20,(('Vstupy z HDM-4 a EXNAD'!$H33-'Vstupy z HDM-4 a EXNAD'!$C33)/'12 Ekonomická analýza (ERR)'!P43*1000000)-'1 CIN'!Q26,('Vstupy z HDM-4 a EXNAD'!H33-'Vstupy z HDM-4 a EXNAD'!C33)/'12 Ekonomická analýza (ERR)'!P43*1000000))</f>
        <v>0</v>
      </c>
      <c r="P74" s="395">
        <f>(P20-P47)+IF('Vstupy z HDM-4 a EXNAD'!H34=0,0,IF(P69&lt;'0 Úvod'!$G$20,(('Vstupy z HDM-4 a EXNAD'!$H34-'Vstupy z HDM-4 a EXNAD'!$C34)/'12 Ekonomická analýza (ERR)'!Q43*1000000)-'1 CIN'!R26,('Vstupy z HDM-4 a EXNAD'!H34-'Vstupy z HDM-4 a EXNAD'!C34)/'12 Ekonomická analýza (ERR)'!Q43*1000000))</f>
        <v>0</v>
      </c>
      <c r="Q74" s="395">
        <f>(Q20-Q47)+IF('Vstupy z HDM-4 a EXNAD'!H35=0,0,IF(Q69&lt;'0 Úvod'!$G$20,(('Vstupy z HDM-4 a EXNAD'!$H35-'Vstupy z HDM-4 a EXNAD'!$C35)/'12 Ekonomická analýza (ERR)'!R43*1000000)-'1 CIN'!S26,('Vstupy z HDM-4 a EXNAD'!H35-'Vstupy z HDM-4 a EXNAD'!C35)/'12 Ekonomická analýza (ERR)'!R43*1000000))</f>
        <v>0</v>
      </c>
      <c r="R74" s="395">
        <f>(R20-R47)+IF('Vstupy z HDM-4 a EXNAD'!H36=0,0,IF(R69&lt;'0 Úvod'!$G$20,(('Vstupy z HDM-4 a EXNAD'!$H36-'Vstupy z HDM-4 a EXNAD'!$C36)/'12 Ekonomická analýza (ERR)'!S43*1000000)-'1 CIN'!T26,('Vstupy z HDM-4 a EXNAD'!H36-'Vstupy z HDM-4 a EXNAD'!C36)/'12 Ekonomická analýza (ERR)'!S43*1000000))</f>
        <v>0</v>
      </c>
      <c r="S74" s="396">
        <f>(S20-S47)+IF('Vstupy z HDM-4 a EXNAD'!H37=0,0,IF(S69&lt;'0 Úvod'!$G$20,(('Vstupy z HDM-4 a EXNAD'!$H37-'Vstupy z HDM-4 a EXNAD'!$C37)/'12 Ekonomická analýza (ERR)'!T43*1000000)-'1 CIN'!U26,('Vstupy z HDM-4 a EXNAD'!H37-'Vstupy z HDM-4 a EXNAD'!C37)/'12 Ekonomická analýza (ERR)'!T43*1000000))</f>
        <v>0</v>
      </c>
      <c r="V74" s="305"/>
      <c r="W74" s="306"/>
      <c r="X74" s="306"/>
      <c r="Y74" s="306"/>
      <c r="Z74" s="305"/>
    </row>
    <row r="75" spans="1:26" s="207" customFormat="1" ht="12.75" customHeight="1" x14ac:dyDescent="0.3">
      <c r="A75" s="226"/>
      <c r="B75" s="358"/>
      <c r="C75" s="59" t="str">
        <f>IF(PINFRA="SILNIČNÍ"," ",IF(SUM('Vstupy z HDM-4 a EXNAD'!H8:H37)=0,IF('0 Úvod'!$M$10="English",Slovnik!D129,Slovnik!C129)," "))</f>
        <v>Náklady na opravy - SILNIČNÍ infrastruktura</v>
      </c>
      <c r="D75" s="386"/>
      <c r="E75" s="394">
        <f t="shared" ref="E75:S75" si="33">E21-E48</f>
        <v>-10914.806500173296</v>
      </c>
      <c r="F75" s="395">
        <f t="shared" si="33"/>
        <v>-10914.806500173296</v>
      </c>
      <c r="G75" s="395">
        <f t="shared" si="33"/>
        <v>-10914.806500173296</v>
      </c>
      <c r="H75" s="395">
        <f t="shared" si="33"/>
        <v>-10914.806500173296</v>
      </c>
      <c r="I75" s="395">
        <f t="shared" si="33"/>
        <v>-10914.806500173296</v>
      </c>
      <c r="J75" s="395">
        <f t="shared" si="33"/>
        <v>-10914.806500173296</v>
      </c>
      <c r="K75" s="395">
        <f t="shared" si="33"/>
        <v>-10914.806500173296</v>
      </c>
      <c r="L75" s="395">
        <f t="shared" si="33"/>
        <v>-10914.806500173296</v>
      </c>
      <c r="M75" s="395">
        <f t="shared" si="33"/>
        <v>-10914.806500173296</v>
      </c>
      <c r="N75" s="395">
        <f t="shared" si="33"/>
        <v>-10914.806500173296</v>
      </c>
      <c r="O75" s="395">
        <f t="shared" si="33"/>
        <v>-10914.806500173296</v>
      </c>
      <c r="P75" s="395">
        <f t="shared" si="33"/>
        <v>-10914.806500173296</v>
      </c>
      <c r="Q75" s="395">
        <f t="shared" si="33"/>
        <v>-11459.974905926003</v>
      </c>
      <c r="R75" s="395">
        <f t="shared" si="33"/>
        <v>-10914.806500173296</v>
      </c>
      <c r="S75" s="396">
        <f t="shared" si="33"/>
        <v>-10914.806500173296</v>
      </c>
      <c r="V75" s="305"/>
      <c r="W75" s="306"/>
      <c r="X75" s="306"/>
      <c r="Y75" s="306"/>
      <c r="Z75" s="305"/>
    </row>
    <row r="76" spans="1:26" s="207" customFormat="1" ht="12.75" customHeight="1" x14ac:dyDescent="0.3">
      <c r="A76" s="226"/>
      <c r="B76" s="253"/>
      <c r="C76" s="59" t="str">
        <f>IF('0 Úvod'!$M$10="English",Slovnik!D130,Slovnik!C130)</f>
        <v>Náklady na běžnou údržbu VODNÍ infrastruktury</v>
      </c>
      <c r="D76" s="255"/>
      <c r="E76" s="394">
        <f t="shared" ref="E76:S76" si="34">E22-E49</f>
        <v>0</v>
      </c>
      <c r="F76" s="395">
        <f t="shared" si="34"/>
        <v>0</v>
      </c>
      <c r="G76" s="395">
        <f t="shared" si="34"/>
        <v>0</v>
      </c>
      <c r="H76" s="395">
        <f t="shared" si="34"/>
        <v>0</v>
      </c>
      <c r="I76" s="395">
        <f t="shared" si="34"/>
        <v>0</v>
      </c>
      <c r="J76" s="395">
        <f t="shared" si="34"/>
        <v>0</v>
      </c>
      <c r="K76" s="395">
        <f t="shared" si="34"/>
        <v>0</v>
      </c>
      <c r="L76" s="395">
        <f t="shared" si="34"/>
        <v>0</v>
      </c>
      <c r="M76" s="395">
        <f t="shared" si="34"/>
        <v>0</v>
      </c>
      <c r="N76" s="395">
        <f t="shared" si="34"/>
        <v>0</v>
      </c>
      <c r="O76" s="395">
        <f t="shared" si="34"/>
        <v>0</v>
      </c>
      <c r="P76" s="395">
        <f t="shared" si="34"/>
        <v>0</v>
      </c>
      <c r="Q76" s="395">
        <f t="shared" si="34"/>
        <v>0</v>
      </c>
      <c r="R76" s="395">
        <f t="shared" si="34"/>
        <v>0</v>
      </c>
      <c r="S76" s="396">
        <f t="shared" si="34"/>
        <v>0</v>
      </c>
      <c r="V76" s="305"/>
      <c r="W76" s="306"/>
      <c r="X76" s="306"/>
      <c r="Y76" s="306"/>
      <c r="Z76" s="305"/>
    </row>
    <row r="77" spans="1:26" s="207" customFormat="1" ht="12.75" customHeight="1" x14ac:dyDescent="0.3">
      <c r="A77" s="226"/>
      <c r="B77" s="253"/>
      <c r="C77" s="59" t="str">
        <f>IF('0 Úvod'!$M$10="English",Slovnik!D131,Slovnik!C131)</f>
        <v>Náklady na opravy VODNÍ infrastruktury</v>
      </c>
      <c r="D77" s="255"/>
      <c r="E77" s="394">
        <f t="shared" ref="E77:S77" si="35">E23-E50</f>
        <v>0</v>
      </c>
      <c r="F77" s="395">
        <f t="shared" si="35"/>
        <v>0</v>
      </c>
      <c r="G77" s="395">
        <f t="shared" si="35"/>
        <v>0</v>
      </c>
      <c r="H77" s="395">
        <f t="shared" si="35"/>
        <v>0</v>
      </c>
      <c r="I77" s="395">
        <f t="shared" si="35"/>
        <v>0</v>
      </c>
      <c r="J77" s="395">
        <f t="shared" si="35"/>
        <v>0</v>
      </c>
      <c r="K77" s="395">
        <f t="shared" si="35"/>
        <v>0</v>
      </c>
      <c r="L77" s="395">
        <f t="shared" si="35"/>
        <v>0</v>
      </c>
      <c r="M77" s="395">
        <f t="shared" si="35"/>
        <v>0</v>
      </c>
      <c r="N77" s="395">
        <f t="shared" si="35"/>
        <v>0</v>
      </c>
      <c r="O77" s="395">
        <f t="shared" si="35"/>
        <v>0</v>
      </c>
      <c r="P77" s="395">
        <f t="shared" si="35"/>
        <v>0</v>
      </c>
      <c r="Q77" s="395">
        <f t="shared" si="35"/>
        <v>0</v>
      </c>
      <c r="R77" s="395">
        <f t="shared" si="35"/>
        <v>0</v>
      </c>
      <c r="S77" s="396">
        <f t="shared" si="35"/>
        <v>0</v>
      </c>
      <c r="V77" s="305"/>
      <c r="W77" s="306"/>
      <c r="X77" s="306"/>
      <c r="Y77" s="306"/>
      <c r="Z77" s="305"/>
    </row>
    <row r="78" spans="1:26" s="207" customFormat="1" ht="12.75" customHeight="1" x14ac:dyDescent="0.3">
      <c r="A78" s="226"/>
      <c r="B78" s="253"/>
      <c r="C78" s="59" t="str">
        <f>IF('0 Úvod'!$M$10="English",Slovnik!D731,Slovnik!C731)</f>
        <v>Náklady na běžnou údržbu OSTATNÍ infrastruktury</v>
      </c>
      <c r="D78" s="255"/>
      <c r="E78" s="394">
        <f t="shared" ref="E78" si="36">E24-E51</f>
        <v>0</v>
      </c>
      <c r="F78" s="395">
        <f t="shared" ref="F78:S78" si="37">F24-F51</f>
        <v>0</v>
      </c>
      <c r="G78" s="395">
        <f t="shared" si="37"/>
        <v>0</v>
      </c>
      <c r="H78" s="395">
        <f t="shared" si="37"/>
        <v>0</v>
      </c>
      <c r="I78" s="395">
        <f t="shared" si="37"/>
        <v>0</v>
      </c>
      <c r="J78" s="395">
        <f t="shared" si="37"/>
        <v>0</v>
      </c>
      <c r="K78" s="395">
        <f t="shared" si="37"/>
        <v>0</v>
      </c>
      <c r="L78" s="395">
        <f t="shared" si="37"/>
        <v>0</v>
      </c>
      <c r="M78" s="395">
        <f t="shared" si="37"/>
        <v>0</v>
      </c>
      <c r="N78" s="395">
        <f t="shared" si="37"/>
        <v>0</v>
      </c>
      <c r="O78" s="395">
        <f t="shared" si="37"/>
        <v>0</v>
      </c>
      <c r="P78" s="395">
        <f t="shared" si="37"/>
        <v>0</v>
      </c>
      <c r="Q78" s="395">
        <f t="shared" si="37"/>
        <v>0</v>
      </c>
      <c r="R78" s="395">
        <f t="shared" si="37"/>
        <v>0</v>
      </c>
      <c r="S78" s="396">
        <f t="shared" si="37"/>
        <v>0</v>
      </c>
      <c r="V78" s="305"/>
      <c r="W78" s="306"/>
      <c r="X78" s="306"/>
      <c r="Y78" s="306"/>
      <c r="Z78" s="305"/>
    </row>
    <row r="79" spans="1:26" s="207" customFormat="1" ht="12.75" customHeight="1" x14ac:dyDescent="0.3">
      <c r="A79" s="226"/>
      <c r="B79" s="1720"/>
      <c r="C79" s="1829" t="str">
        <f>IF('0 Úvod'!$M$10="English",Slovnik!D732,Slovnik!C732)</f>
        <v>Náklady na opravy OSTATNÍ infrastruktury</v>
      </c>
      <c r="D79" s="1830"/>
      <c r="E79" s="1721">
        <f t="shared" ref="E79" si="38">E25-E52</f>
        <v>0</v>
      </c>
      <c r="F79" s="1831">
        <f t="shared" ref="F79:S79" si="39">F25-F52</f>
        <v>0</v>
      </c>
      <c r="G79" s="1831">
        <f t="shared" si="39"/>
        <v>0</v>
      </c>
      <c r="H79" s="1831">
        <f t="shared" si="39"/>
        <v>0</v>
      </c>
      <c r="I79" s="1831">
        <f t="shared" si="39"/>
        <v>0</v>
      </c>
      <c r="J79" s="1831">
        <f t="shared" si="39"/>
        <v>0</v>
      </c>
      <c r="K79" s="1831">
        <f t="shared" si="39"/>
        <v>0</v>
      </c>
      <c r="L79" s="1831">
        <f t="shared" si="39"/>
        <v>0</v>
      </c>
      <c r="M79" s="1831">
        <f t="shared" si="39"/>
        <v>0</v>
      </c>
      <c r="N79" s="1831">
        <f t="shared" si="39"/>
        <v>0</v>
      </c>
      <c r="O79" s="1831">
        <f t="shared" si="39"/>
        <v>0</v>
      </c>
      <c r="P79" s="1831">
        <f t="shared" si="39"/>
        <v>0</v>
      </c>
      <c r="Q79" s="1831">
        <f t="shared" si="39"/>
        <v>0</v>
      </c>
      <c r="R79" s="1831">
        <f t="shared" si="39"/>
        <v>0</v>
      </c>
      <c r="S79" s="1832">
        <f t="shared" si="39"/>
        <v>0</v>
      </c>
      <c r="V79" s="305"/>
      <c r="W79" s="306"/>
      <c r="X79" s="306"/>
      <c r="Y79" s="306"/>
      <c r="Z79" s="305"/>
    </row>
    <row r="80" spans="1:26" ht="15" thickBot="1" x14ac:dyDescent="0.35">
      <c r="A80" s="207"/>
      <c r="B80" s="1571"/>
      <c r="C80" s="1572" t="str">
        <f>IF('0 Úvod'!$M$10="English",Slovnik!D136,Slovnik!C136)</f>
        <v>Přírůstkové celkové PN infrastruktury</v>
      </c>
      <c r="D80" s="1573"/>
      <c r="E80" s="1717">
        <f t="shared" ref="E80:S80" si="40">E26-E53</f>
        <v>-1102415.6120780427</v>
      </c>
      <c r="F80" s="1718">
        <f t="shared" si="40"/>
        <v>-1104037.7883324642</v>
      </c>
      <c r="G80" s="1718">
        <f t="shared" si="40"/>
        <v>-1105668.0754681565</v>
      </c>
      <c r="H80" s="1718">
        <f t="shared" si="40"/>
        <v>-1107306.5140395295</v>
      </c>
      <c r="I80" s="1718">
        <f t="shared" si="40"/>
        <v>-1108953.1448037568</v>
      </c>
      <c r="J80" s="1718">
        <f t="shared" si="40"/>
        <v>-1110608.0087218098</v>
      </c>
      <c r="K80" s="1718">
        <f t="shared" si="40"/>
        <v>-1112271.1469594501</v>
      </c>
      <c r="L80" s="1718">
        <f t="shared" si="40"/>
        <v>6221095.4248403851</v>
      </c>
      <c r="M80" s="1718">
        <f t="shared" si="40"/>
        <v>-1115622.4120867513</v>
      </c>
      <c r="N80" s="1718">
        <f t="shared" si="40"/>
        <v>-1117310.6223412137</v>
      </c>
      <c r="O80" s="1718">
        <f t="shared" si="40"/>
        <v>-1119007.2736469526</v>
      </c>
      <c r="P80" s="1718">
        <f t="shared" si="40"/>
        <v>-1120712.4082092177</v>
      </c>
      <c r="Q80" s="1718">
        <f t="shared" si="40"/>
        <v>116060297.9688634</v>
      </c>
      <c r="R80" s="1718">
        <f t="shared" si="40"/>
        <v>-1124148.2969805468</v>
      </c>
      <c r="S80" s="1719">
        <f t="shared" si="40"/>
        <v>137232586.66013321</v>
      </c>
      <c r="V80" s="307"/>
      <c r="W80" s="305"/>
      <c r="X80" s="305"/>
      <c r="Y80" s="305"/>
      <c r="Z80" s="305"/>
    </row>
    <row r="81" spans="1:29" ht="14.25" x14ac:dyDescent="0.3">
      <c r="A81" s="207"/>
      <c r="B81" s="217"/>
      <c r="C81" s="218"/>
      <c r="D81" s="219"/>
      <c r="E81" s="220"/>
      <c r="F81" s="220"/>
      <c r="G81" s="220"/>
      <c r="H81" s="220"/>
      <c r="I81" s="220"/>
      <c r="J81" s="220"/>
      <c r="K81" s="220"/>
      <c r="L81" s="220"/>
      <c r="M81" s="220"/>
      <c r="N81" s="220"/>
      <c r="O81" s="220"/>
      <c r="P81" s="220"/>
      <c r="Q81" s="220"/>
      <c r="R81" s="220"/>
      <c r="S81" s="220"/>
      <c r="V81" s="307"/>
      <c r="W81" s="305"/>
      <c r="X81" s="305"/>
      <c r="Y81" s="305"/>
      <c r="Z81" s="305"/>
    </row>
    <row r="82" spans="1:29" ht="14.25" thickBot="1" x14ac:dyDescent="0.35">
      <c r="A82" s="207"/>
      <c r="B82" s="217"/>
      <c r="D82" s="208"/>
      <c r="E82" s="208"/>
      <c r="F82" s="208"/>
      <c r="G82" s="208"/>
      <c r="H82" s="208"/>
      <c r="I82" s="208"/>
      <c r="J82" s="208"/>
      <c r="K82" s="208"/>
      <c r="L82" s="208"/>
      <c r="M82" s="208"/>
      <c r="N82" s="208"/>
      <c r="O82" s="208"/>
      <c r="P82" s="208"/>
      <c r="Q82" s="208"/>
      <c r="R82" s="208"/>
      <c r="S82" s="208"/>
      <c r="U82" s="305"/>
      <c r="V82" s="305"/>
      <c r="W82" s="305"/>
      <c r="X82" s="305"/>
      <c r="Y82" s="305"/>
    </row>
    <row r="83" spans="1:29" ht="14.25" x14ac:dyDescent="0.3">
      <c r="A83" s="207"/>
      <c r="B83" s="562"/>
      <c r="C83" s="563" t="str">
        <f>IF('0 Úvod'!$M$10="English",Slovnik!D137,Slovnik!C137)</f>
        <v>Scénář s projektem (CZK)</v>
      </c>
      <c r="D83" s="427">
        <f>D13</f>
        <v>864437031.27888775</v>
      </c>
      <c r="U83" s="305"/>
      <c r="V83" s="306"/>
      <c r="W83" s="306"/>
      <c r="X83" s="306"/>
      <c r="Y83" s="305"/>
    </row>
    <row r="84" spans="1:29" ht="14.25" x14ac:dyDescent="0.3">
      <c r="B84" s="564"/>
      <c r="C84" s="565" t="str">
        <f>IF('0 Úvod'!$M$10="English",Slovnik!D138,Slovnik!C138)</f>
        <v>Scénář bez projektu (CZK)</v>
      </c>
      <c r="D84" s="426">
        <f>D40</f>
        <v>1014826316.0736295</v>
      </c>
      <c r="U84" s="307"/>
      <c r="V84" s="305"/>
      <c r="W84" s="305"/>
      <c r="X84" s="305"/>
      <c r="Y84" s="305"/>
    </row>
    <row r="85" spans="1:29" ht="15" thickBot="1" x14ac:dyDescent="0.35">
      <c r="B85" s="566"/>
      <c r="C85" s="567" t="str">
        <f>IF('0 Úvod'!$M$10="English",Slovnik!D139,Slovnik!C139)</f>
        <v>Přírůstkové cash-flow (CZK)</v>
      </c>
      <c r="D85" s="425">
        <f>D67</f>
        <v>-150389284.79474184</v>
      </c>
      <c r="E85" s="215"/>
      <c r="H85" s="207"/>
      <c r="I85" s="207"/>
      <c r="U85" s="307"/>
      <c r="V85" s="305"/>
      <c r="W85" s="305"/>
      <c r="X85" s="305"/>
      <c r="Y85" s="305"/>
    </row>
    <row r="86" spans="1:29" x14ac:dyDescent="0.3">
      <c r="H86" s="207"/>
      <c r="I86" s="207"/>
      <c r="U86" s="305"/>
      <c r="V86" s="305"/>
      <c r="W86" s="305"/>
      <c r="X86" s="305"/>
      <c r="Y86" s="305"/>
    </row>
    <row r="87" spans="1:29" ht="15" thickBot="1" x14ac:dyDescent="0.35">
      <c r="C87" s="308"/>
      <c r="D87" s="309"/>
      <c r="E87" s="310"/>
      <c r="F87" s="311"/>
      <c r="G87" s="311"/>
      <c r="H87" s="312"/>
      <c r="I87" s="313"/>
      <c r="U87" s="305"/>
      <c r="V87" s="306"/>
      <c r="W87" s="306"/>
      <c r="X87" s="306"/>
      <c r="Y87" s="305"/>
    </row>
    <row r="88" spans="1:29" ht="40.5" x14ac:dyDescent="0.3">
      <c r="B88" s="2331" t="s">
        <v>105</v>
      </c>
      <c r="C88" s="314" t="str">
        <f>IF('0 Úvod'!$M$10="English",Slovnik!D140,Slovnik!C140)</f>
        <v>Náklady na řízení provozu - železniční doprava</v>
      </c>
      <c r="D88" s="315" t="str">
        <f>IF('0 Úvod'!$M$10="English",Slovnik!$D$156,Slovnik!$C$156)</f>
        <v>mzdové náklady za rok práce</v>
      </c>
      <c r="E88" s="316" t="str">
        <f>IF('0 Úvod'!$M$10="English",Slovnik!$D$157,Slovnik!$C$157)</f>
        <v>základní náklady za rok práce</v>
      </c>
      <c r="F88" s="317"/>
      <c r="G88" s="317"/>
      <c r="H88" s="317"/>
      <c r="I88" s="318"/>
      <c r="J88" s="305"/>
      <c r="K88" s="305"/>
      <c r="L88" s="305"/>
      <c r="M88" s="305"/>
      <c r="N88" s="305"/>
      <c r="O88" s="305"/>
      <c r="P88" s="305"/>
      <c r="Q88" s="305"/>
      <c r="R88" s="305"/>
      <c r="S88" s="305"/>
      <c r="T88" s="476"/>
      <c r="U88" s="307"/>
      <c r="V88" s="305"/>
      <c r="W88" s="305"/>
      <c r="X88" s="305"/>
      <c r="Y88" s="305"/>
      <c r="Z88" s="476"/>
      <c r="AA88" s="476"/>
      <c r="AB88" s="476"/>
      <c r="AC88" s="476"/>
    </row>
    <row r="89" spans="1:29" ht="14.25" x14ac:dyDescent="0.3">
      <c r="B89" s="2332"/>
      <c r="C89" s="319" t="str">
        <f>IF('0 Úvod'!$M$10="English",Slovnik!D141,Slovnik!C141)</f>
        <v>CÚ</v>
      </c>
      <c r="D89" s="320">
        <v>2017</v>
      </c>
      <c r="E89" s="321">
        <v>2017</v>
      </c>
      <c r="F89" s="317"/>
      <c r="G89" s="317"/>
      <c r="H89" s="317"/>
      <c r="I89" s="305"/>
      <c r="J89" s="305"/>
      <c r="K89" s="305"/>
      <c r="L89" s="305"/>
      <c r="M89" s="305"/>
      <c r="N89" s="305"/>
      <c r="O89" s="305"/>
      <c r="P89" s="305"/>
      <c r="Q89" s="305"/>
      <c r="R89" s="305"/>
      <c r="S89" s="305"/>
      <c r="T89" s="476"/>
      <c r="U89" s="307"/>
      <c r="V89" s="305"/>
      <c r="W89" s="305"/>
      <c r="X89" s="305"/>
      <c r="Y89" s="305"/>
      <c r="Z89" s="476"/>
      <c r="AA89" s="476"/>
      <c r="AB89" s="476"/>
      <c r="AC89" s="476"/>
    </row>
    <row r="90" spans="1:29" ht="15" thickBot="1" x14ac:dyDescent="0.35">
      <c r="B90" s="2333"/>
      <c r="C90" s="322" t="str">
        <f>IF('0 Úvod'!$M$10="English",Slovnik!D142,Slovnik!C142)</f>
        <v>Měrné ohodnocení</v>
      </c>
      <c r="D90" s="323" t="str">
        <f>IF('0 Úvod'!$M$10="English",Slovnik!$D$158,Slovnik!$C$158)</f>
        <v>CZK/rok</v>
      </c>
      <c r="E90" s="324" t="str">
        <f>IF('0 Úvod'!$M$10="English",Slovnik!$D$158,Slovnik!$C$158)</f>
        <v>CZK/rok</v>
      </c>
      <c r="F90" s="325"/>
      <c r="G90" s="325"/>
      <c r="H90" s="325"/>
      <c r="I90" s="305"/>
      <c r="J90" s="305"/>
      <c r="K90" s="305"/>
      <c r="L90" s="306"/>
      <c r="M90" s="306"/>
      <c r="N90" s="306"/>
      <c r="O90" s="305"/>
      <c r="P90" s="305"/>
      <c r="Q90" s="305"/>
      <c r="R90" s="305"/>
      <c r="S90" s="305"/>
      <c r="T90" s="476"/>
      <c r="U90" s="305"/>
      <c r="V90" s="305"/>
      <c r="W90" s="305"/>
      <c r="X90" s="305"/>
      <c r="Y90" s="305"/>
      <c r="Z90" s="476"/>
      <c r="AA90" s="476"/>
      <c r="AB90" s="476"/>
      <c r="AC90" s="476"/>
    </row>
    <row r="91" spans="1:29" ht="14.25" x14ac:dyDescent="0.3">
      <c r="B91" s="433"/>
      <c r="C91" s="431" t="str">
        <f>IF('0 Úvod'!$M$10="English",Slovnik!D143,Slovnik!C143)</f>
        <v>Dozorčí provozu</v>
      </c>
      <c r="D91" s="421">
        <v>633929</v>
      </c>
      <c r="E91" s="422">
        <v>473081</v>
      </c>
      <c r="F91" s="326"/>
      <c r="G91" s="326"/>
      <c r="H91" s="326"/>
      <c r="I91" s="305"/>
      <c r="J91" s="307"/>
      <c r="K91" s="307"/>
      <c r="L91" s="305"/>
      <c r="M91" s="305"/>
      <c r="N91" s="305"/>
      <c r="O91" s="305"/>
      <c r="P91" s="305"/>
      <c r="Q91" s="305"/>
      <c r="R91" s="305"/>
      <c r="S91" s="305"/>
      <c r="T91" s="476"/>
      <c r="U91" s="305"/>
      <c r="V91" s="306"/>
      <c r="W91" s="306"/>
      <c r="X91" s="306"/>
      <c r="Y91" s="305"/>
      <c r="Z91" s="476"/>
      <c r="AA91" s="476"/>
      <c r="AB91" s="476"/>
      <c r="AC91" s="476"/>
    </row>
    <row r="92" spans="1:29" ht="14.25" x14ac:dyDescent="0.3">
      <c r="B92" s="434"/>
      <c r="C92" s="431" t="str">
        <f>IF('0 Úvod'!$M$10="English",Slovnik!D144,Slovnik!C144)</f>
        <v>Výpravčí</v>
      </c>
      <c r="D92" s="421">
        <v>551605</v>
      </c>
      <c r="E92" s="422">
        <v>411646</v>
      </c>
      <c r="F92" s="326"/>
      <c r="G92" s="328"/>
      <c r="H92" s="326"/>
      <c r="I92" s="305"/>
      <c r="J92" s="307"/>
      <c r="K92" s="307"/>
      <c r="L92" s="305"/>
      <c r="M92" s="305"/>
      <c r="N92" s="305"/>
      <c r="O92" s="305"/>
      <c r="P92" s="305"/>
      <c r="Q92" s="305"/>
      <c r="R92" s="305"/>
      <c r="S92" s="305"/>
      <c r="T92" s="476"/>
      <c r="U92" s="307"/>
      <c r="V92" s="305"/>
      <c r="W92" s="305"/>
      <c r="X92" s="305"/>
      <c r="Y92" s="305"/>
      <c r="Z92" s="476"/>
      <c r="AA92" s="476"/>
      <c r="AB92" s="476"/>
      <c r="AC92" s="476"/>
    </row>
    <row r="93" spans="1:29" ht="14.25" x14ac:dyDescent="0.3">
      <c r="B93" s="434"/>
      <c r="C93" s="431" t="str">
        <f>IF('0 Úvod'!$M$10="English",Slovnik!D145,Slovnik!C145)</f>
        <v>Dozorčí provozu – vedoucí směny</v>
      </c>
      <c r="D93" s="421">
        <v>632734</v>
      </c>
      <c r="E93" s="422">
        <v>472190</v>
      </c>
      <c r="F93" s="326"/>
      <c r="G93" s="326"/>
      <c r="H93" s="326"/>
      <c r="I93" s="305"/>
      <c r="J93" s="307"/>
      <c r="K93" s="307"/>
      <c r="L93" s="305"/>
      <c r="M93" s="305"/>
      <c r="N93" s="305"/>
      <c r="O93" s="305"/>
      <c r="P93" s="305"/>
      <c r="Q93" s="305"/>
      <c r="R93" s="305"/>
      <c r="S93" s="305"/>
      <c r="T93" s="305"/>
      <c r="U93" s="307"/>
      <c r="V93" s="305"/>
      <c r="W93" s="305"/>
      <c r="X93" s="305"/>
      <c r="Y93" s="305"/>
      <c r="Z93" s="476"/>
      <c r="AA93" s="476"/>
      <c r="AB93" s="476"/>
      <c r="AC93" s="476"/>
    </row>
    <row r="94" spans="1:29" ht="14.25" x14ac:dyDescent="0.3">
      <c r="B94" s="434"/>
      <c r="C94" s="431" t="str">
        <f>IF('0 Úvod'!$M$10="English",Slovnik!D146,Slovnik!C146)</f>
        <v>Operátor železniční dopravy</v>
      </c>
      <c r="D94" s="421">
        <v>385381</v>
      </c>
      <c r="E94" s="422">
        <v>287598</v>
      </c>
      <c r="F94" s="326"/>
      <c r="G94" s="327"/>
      <c r="H94" s="328"/>
      <c r="I94" s="329"/>
      <c r="J94" s="330"/>
      <c r="K94" s="307"/>
      <c r="L94" s="305"/>
      <c r="M94" s="305"/>
      <c r="N94" s="305"/>
      <c r="O94" s="305"/>
      <c r="P94" s="305"/>
      <c r="Q94" s="305"/>
      <c r="R94" s="305"/>
      <c r="S94" s="305"/>
      <c r="T94" s="305"/>
      <c r="U94" s="305"/>
      <c r="V94" s="305"/>
      <c r="W94" s="305"/>
      <c r="X94" s="305"/>
      <c r="Y94" s="305"/>
      <c r="Z94" s="476"/>
      <c r="AA94" s="476"/>
      <c r="AB94" s="476"/>
      <c r="AC94" s="476"/>
    </row>
    <row r="95" spans="1:29" ht="14.25" x14ac:dyDescent="0.3">
      <c r="B95" s="434"/>
      <c r="C95" s="431" t="str">
        <f>IF('0 Úvod'!$M$10="English",Slovnik!D147,Slovnik!C147)</f>
        <v>Signalista</v>
      </c>
      <c r="D95" s="421">
        <v>420424</v>
      </c>
      <c r="E95" s="422">
        <v>313749</v>
      </c>
      <c r="F95" s="326"/>
      <c r="G95" s="326"/>
      <c r="H95" s="326"/>
      <c r="I95" s="331"/>
      <c r="J95" s="332"/>
      <c r="K95" s="332"/>
      <c r="L95" s="318"/>
      <c r="M95" s="305"/>
      <c r="N95" s="305"/>
      <c r="O95" s="305"/>
      <c r="P95" s="305"/>
      <c r="Q95" s="305"/>
      <c r="R95" s="305"/>
      <c r="S95" s="305"/>
      <c r="T95" s="476"/>
      <c r="U95" s="305"/>
      <c r="V95" s="306"/>
      <c r="W95" s="306"/>
      <c r="X95" s="306"/>
      <c r="Y95" s="305"/>
      <c r="Z95" s="476"/>
      <c r="AA95" s="476"/>
      <c r="AB95" s="476"/>
      <c r="AC95" s="476"/>
    </row>
    <row r="96" spans="1:29" ht="14.25" x14ac:dyDescent="0.3">
      <c r="B96" s="434"/>
      <c r="C96" s="431" t="str">
        <f>IF('0 Úvod'!$M$10="English",Slovnik!D148,Slovnik!C148)</f>
        <v>Výhybkář</v>
      </c>
      <c r="D96" s="421">
        <v>330186</v>
      </c>
      <c r="E96" s="422">
        <v>246408</v>
      </c>
      <c r="F96" s="326"/>
      <c r="G96" s="333"/>
      <c r="H96" s="326"/>
      <c r="I96" s="318"/>
      <c r="J96" s="307"/>
      <c r="K96" s="307"/>
      <c r="L96" s="305"/>
      <c r="M96" s="305"/>
      <c r="N96" s="305"/>
      <c r="O96" s="305"/>
      <c r="P96" s="305"/>
      <c r="Q96" s="305"/>
      <c r="R96" s="305"/>
      <c r="S96" s="305"/>
      <c r="T96" s="305"/>
      <c r="U96" s="307"/>
      <c r="V96" s="305"/>
      <c r="W96" s="305"/>
      <c r="X96" s="305"/>
      <c r="Y96" s="305"/>
      <c r="Z96" s="476"/>
      <c r="AA96" s="476"/>
      <c r="AB96" s="476"/>
      <c r="AC96" s="476"/>
    </row>
    <row r="97" spans="2:29" ht="15" customHeight="1" x14ac:dyDescent="0.3">
      <c r="B97" s="434"/>
      <c r="C97" s="431" t="str">
        <f>IF('0 Úvod'!$M$10="English",Slovnik!D149,Slovnik!C149)</f>
        <v>Staniční dozorce</v>
      </c>
      <c r="D97" s="421">
        <v>379222</v>
      </c>
      <c r="E97" s="422">
        <v>283002</v>
      </c>
      <c r="F97" s="326"/>
      <c r="G97" s="326"/>
      <c r="H97" s="326"/>
      <c r="I97" s="318"/>
      <c r="J97" s="307"/>
      <c r="K97" s="307"/>
      <c r="L97" s="305"/>
      <c r="M97" s="305"/>
      <c r="N97" s="305"/>
      <c r="O97" s="305"/>
      <c r="P97" s="305"/>
      <c r="Q97" s="305"/>
      <c r="R97" s="305"/>
      <c r="S97" s="305"/>
      <c r="T97" s="476"/>
      <c r="U97" s="307"/>
      <c r="V97" s="305"/>
      <c r="W97" s="305"/>
      <c r="X97" s="305"/>
      <c r="Y97" s="305"/>
      <c r="Z97" s="476"/>
      <c r="AA97" s="476"/>
      <c r="AB97" s="476"/>
      <c r="AC97" s="476"/>
    </row>
    <row r="98" spans="2:29" ht="14.25" x14ac:dyDescent="0.3">
      <c r="B98" s="434"/>
      <c r="C98" s="431" t="str">
        <f>IF('0 Úvod'!$M$10="English",Slovnik!D150,Slovnik!C150)</f>
        <v>Dozorce výhybek</v>
      </c>
      <c r="D98" s="421">
        <v>363250</v>
      </c>
      <c r="E98" s="422">
        <v>271082</v>
      </c>
      <c r="F98" s="326"/>
      <c r="G98" s="326"/>
      <c r="H98" s="326"/>
      <c r="I98" s="305"/>
      <c r="J98" s="307"/>
      <c r="K98" s="307"/>
      <c r="L98" s="305"/>
      <c r="M98" s="305"/>
      <c r="N98" s="305"/>
      <c r="O98" s="305"/>
      <c r="P98" s="305"/>
      <c r="Q98" s="305"/>
      <c r="R98" s="305"/>
      <c r="S98" s="305"/>
      <c r="T98" s="476"/>
      <c r="U98" s="476"/>
      <c r="V98" s="1895"/>
      <c r="W98" s="1030"/>
      <c r="X98" s="1030"/>
      <c r="Y98" s="476"/>
      <c r="Z98" s="476"/>
      <c r="AA98" s="476"/>
      <c r="AB98" s="476"/>
      <c r="AC98" s="476"/>
    </row>
    <row r="99" spans="2:29" ht="14.25" x14ac:dyDescent="0.3">
      <c r="B99" s="434"/>
      <c r="C99" s="431" t="str">
        <f>IF('0 Úvod'!$M$10="English",Slovnik!D151,Slovnik!C151)</f>
        <v>Závorář</v>
      </c>
      <c r="D99" s="421">
        <v>319619</v>
      </c>
      <c r="E99" s="422">
        <v>238521</v>
      </c>
      <c r="F99" s="326"/>
      <c r="G99" s="326"/>
      <c r="H99" s="326"/>
      <c r="I99" s="305"/>
      <c r="J99" s="307"/>
      <c r="K99" s="1906"/>
      <c r="L99" s="305"/>
      <c r="M99" s="305"/>
      <c r="N99" s="305"/>
      <c r="O99" s="305"/>
      <c r="P99" s="305"/>
      <c r="Q99" s="305"/>
      <c r="R99" s="305"/>
      <c r="S99" s="305"/>
      <c r="T99" s="476"/>
      <c r="U99" s="476"/>
      <c r="V99" s="476"/>
      <c r="W99" s="476"/>
      <c r="X99" s="476"/>
      <c r="Y99" s="476"/>
      <c r="Z99" s="476"/>
      <c r="AA99" s="476"/>
      <c r="AB99" s="476"/>
      <c r="AC99" s="476"/>
    </row>
    <row r="100" spans="2:29" ht="14.25" x14ac:dyDescent="0.3">
      <c r="B100" s="434"/>
      <c r="C100" s="431" t="str">
        <f>IF('0 Úvod'!$M$10="English",Slovnik!D152,Slovnik!C152)</f>
        <v>Závorář s prodejem jízdenek</v>
      </c>
      <c r="D100" s="421">
        <v>325785</v>
      </c>
      <c r="E100" s="422">
        <v>243124</v>
      </c>
      <c r="F100" s="326"/>
      <c r="G100" s="326"/>
      <c r="H100" s="326"/>
      <c r="I100" s="305"/>
      <c r="J100" s="307"/>
      <c r="K100" s="1906"/>
      <c r="L100" s="305"/>
      <c r="M100" s="305"/>
      <c r="N100" s="305"/>
      <c r="O100" s="305"/>
      <c r="P100" s="305"/>
      <c r="Q100" s="305"/>
      <c r="R100" s="305"/>
      <c r="S100" s="305"/>
      <c r="T100" s="476"/>
      <c r="U100" s="476"/>
      <c r="V100" s="476"/>
      <c r="W100" s="476"/>
      <c r="X100" s="476"/>
      <c r="Y100" s="476"/>
      <c r="Z100" s="476"/>
      <c r="AA100" s="476"/>
      <c r="AB100" s="476"/>
      <c r="AC100" s="476"/>
    </row>
    <row r="101" spans="2:29" ht="14.25" x14ac:dyDescent="0.3">
      <c r="B101" s="434"/>
      <c r="C101" s="431" t="str">
        <f>IF('0 Úvod'!$M$10="English",Slovnik!D153,Slovnik!C153)</f>
        <v>Hradlář – hláskař</v>
      </c>
      <c r="D101" s="421">
        <v>348207</v>
      </c>
      <c r="E101" s="422">
        <v>259856</v>
      </c>
      <c r="F101" s="326"/>
      <c r="G101" s="326"/>
      <c r="H101" s="326"/>
      <c r="I101" s="305"/>
      <c r="J101" s="307"/>
      <c r="K101" s="307"/>
      <c r="L101" s="305"/>
      <c r="M101" s="305"/>
      <c r="N101" s="305"/>
      <c r="O101" s="305"/>
      <c r="P101" s="305"/>
      <c r="Q101" s="305"/>
      <c r="R101" s="305"/>
      <c r="S101" s="305"/>
      <c r="T101" s="476"/>
      <c r="U101" s="476"/>
      <c r="V101" s="476"/>
      <c r="W101" s="476"/>
      <c r="X101" s="476"/>
      <c r="Y101" s="476"/>
      <c r="Z101" s="476"/>
      <c r="AA101" s="476"/>
      <c r="AB101" s="476"/>
      <c r="AC101" s="476"/>
    </row>
    <row r="102" spans="2:29" ht="14.25" x14ac:dyDescent="0.3">
      <c r="B102" s="434"/>
      <c r="C102" s="431" t="str">
        <f>IF('0 Úvod'!$M$10="English",Slovnik!D154,Slovnik!C154)</f>
        <v>Hradlář – hláskař s prodejem jízdenek</v>
      </c>
      <c r="D102" s="421">
        <v>342015</v>
      </c>
      <c r="E102" s="422">
        <v>255235</v>
      </c>
      <c r="F102" s="326"/>
      <c r="G102" s="326"/>
      <c r="H102" s="326"/>
      <c r="I102" s="305"/>
      <c r="J102" s="307"/>
      <c r="K102" s="307"/>
      <c r="L102" s="305"/>
      <c r="M102" s="305"/>
      <c r="N102" s="305"/>
      <c r="O102" s="305"/>
      <c r="P102" s="305"/>
      <c r="Q102" s="305"/>
      <c r="R102" s="305"/>
      <c r="S102" s="305"/>
      <c r="T102" s="476"/>
      <c r="U102" s="476"/>
      <c r="V102" s="476"/>
      <c r="W102" s="476"/>
      <c r="X102" s="476"/>
      <c r="Y102" s="476"/>
      <c r="Z102" s="476"/>
      <c r="AA102" s="476"/>
      <c r="AB102" s="476"/>
      <c r="AC102" s="476"/>
    </row>
    <row r="103" spans="2:29" ht="15" thickBot="1" x14ac:dyDescent="0.35">
      <c r="B103" s="435"/>
      <c r="C103" s="432" t="str">
        <f>IF('0 Úvod'!$M$10="English",Slovnik!D155,Slovnik!C155)</f>
        <v>Dělník v dopravě – staniční dělník</v>
      </c>
      <c r="D103" s="423">
        <v>223567</v>
      </c>
      <c r="E103" s="424">
        <v>166841</v>
      </c>
      <c r="F103" s="326"/>
      <c r="G103" s="326"/>
      <c r="H103" s="326"/>
      <c r="I103" s="305"/>
      <c r="J103" s="307"/>
      <c r="K103" s="307"/>
      <c r="L103" s="305"/>
      <c r="M103" s="305"/>
      <c r="N103" s="305"/>
      <c r="O103" s="305"/>
      <c r="P103" s="305"/>
      <c r="Q103" s="305"/>
      <c r="R103" s="305"/>
      <c r="S103" s="305"/>
      <c r="T103" s="476"/>
      <c r="U103" s="476"/>
      <c r="V103" s="476"/>
      <c r="W103" s="476"/>
      <c r="X103" s="476"/>
      <c r="Y103" s="476"/>
      <c r="Z103" s="476"/>
      <c r="AA103" s="476"/>
      <c r="AB103" s="476"/>
      <c r="AC103" s="476"/>
    </row>
    <row r="104" spans="2:29" ht="15" thickBot="1" x14ac:dyDescent="0.35">
      <c r="B104" s="334"/>
      <c r="C104" s="305"/>
      <c r="D104" s="305"/>
      <c r="E104" s="305"/>
      <c r="F104" s="305"/>
      <c r="G104" s="305"/>
      <c r="H104" s="305"/>
      <c r="I104" s="305"/>
      <c r="J104" s="305"/>
      <c r="K104" s="305"/>
      <c r="L104" s="305"/>
      <c r="M104" s="305"/>
      <c r="N104" s="305"/>
      <c r="O104" s="305"/>
      <c r="P104" s="305"/>
      <c r="Q104" s="305"/>
      <c r="R104" s="305"/>
      <c r="S104" s="305"/>
      <c r="T104" s="476"/>
      <c r="U104" s="476"/>
      <c r="V104" s="476"/>
      <c r="W104" s="476"/>
      <c r="X104" s="476"/>
      <c r="Y104" s="476"/>
      <c r="Z104" s="476"/>
      <c r="AA104" s="476"/>
      <c r="AB104" s="476"/>
      <c r="AC104" s="476"/>
    </row>
    <row r="105" spans="2:29" ht="14.25" x14ac:dyDescent="0.3">
      <c r="B105" s="403" t="s">
        <v>106</v>
      </c>
      <c r="C105" s="404" t="str">
        <f>IF('0 Úvod'!$M$10="English",Slovnik!$D$159,Slovnik!$C$159)</f>
        <v>Růst nákladů na řízení provozu</v>
      </c>
      <c r="D105" s="405"/>
      <c r="E105" s="2304">
        <f t="shared" ref="E105:S105" si="41">E56</f>
        <v>2021</v>
      </c>
      <c r="F105" s="2298">
        <f t="shared" si="41"/>
        <v>2022</v>
      </c>
      <c r="G105" s="2298">
        <f t="shared" si="41"/>
        <v>2023</v>
      </c>
      <c r="H105" s="2298">
        <f t="shared" si="41"/>
        <v>2024</v>
      </c>
      <c r="I105" s="2298">
        <f t="shared" si="41"/>
        <v>2025</v>
      </c>
      <c r="J105" s="2298">
        <f t="shared" si="41"/>
        <v>2026</v>
      </c>
      <c r="K105" s="2298">
        <f t="shared" si="41"/>
        <v>2027</v>
      </c>
      <c r="L105" s="2298">
        <f t="shared" si="41"/>
        <v>2028</v>
      </c>
      <c r="M105" s="2298">
        <f t="shared" si="41"/>
        <v>2029</v>
      </c>
      <c r="N105" s="2298">
        <f t="shared" si="41"/>
        <v>2030</v>
      </c>
      <c r="O105" s="2298">
        <f t="shared" si="41"/>
        <v>2031</v>
      </c>
      <c r="P105" s="2298">
        <f t="shared" si="41"/>
        <v>2032</v>
      </c>
      <c r="Q105" s="2298">
        <f t="shared" si="41"/>
        <v>2033</v>
      </c>
      <c r="R105" s="2298">
        <f t="shared" si="41"/>
        <v>2034</v>
      </c>
      <c r="S105" s="2309">
        <f t="shared" si="41"/>
        <v>2035</v>
      </c>
      <c r="T105" s="476"/>
      <c r="U105" s="476"/>
      <c r="V105" s="476"/>
      <c r="W105" s="476"/>
      <c r="X105" s="476"/>
      <c r="Y105" s="476"/>
      <c r="Z105" s="476"/>
      <c r="AA105" s="476"/>
      <c r="AB105" s="476"/>
      <c r="AC105" s="476"/>
    </row>
    <row r="106" spans="2:29" ht="15" thickBot="1" x14ac:dyDescent="0.35">
      <c r="B106" s="406" t="s">
        <v>23</v>
      </c>
      <c r="C106" s="407"/>
      <c r="D106" s="408" t="str">
        <f>IF('0 Úvod'!$M$10="English",Slovnik!$D$160,Slovnik!$C$160)</f>
        <v>Elasticita</v>
      </c>
      <c r="E106" s="2305"/>
      <c r="F106" s="2299"/>
      <c r="G106" s="2299"/>
      <c r="H106" s="2299"/>
      <c r="I106" s="2299"/>
      <c r="J106" s="2299"/>
      <c r="K106" s="2299"/>
      <c r="L106" s="2299"/>
      <c r="M106" s="2299"/>
      <c r="N106" s="2299"/>
      <c r="O106" s="2299"/>
      <c r="P106" s="2299"/>
      <c r="Q106" s="2299"/>
      <c r="R106" s="2299"/>
      <c r="S106" s="2314"/>
      <c r="T106" s="476"/>
      <c r="U106" s="476"/>
      <c r="V106" s="476"/>
      <c r="W106" s="476"/>
      <c r="X106" s="476"/>
      <c r="Y106" s="476"/>
      <c r="Z106" s="476"/>
      <c r="AA106" s="476"/>
      <c r="AB106" s="476"/>
      <c r="AC106" s="476"/>
    </row>
    <row r="107" spans="2:29" ht="14.25" x14ac:dyDescent="0.3">
      <c r="B107" s="436"/>
      <c r="C107" s="437" t="str">
        <f>IF('0 Úvod'!$M$10="English",Slovnik!$D$163,Slovnik!$C$163)</f>
        <v>Růst reálné mzdy v dopravě</v>
      </c>
      <c r="D107" s="335">
        <v>1</v>
      </c>
      <c r="E107" s="447">
        <v>0</v>
      </c>
      <c r="F107" s="448">
        <f>$D$107*IFERROR(HLOOKUP(F$105,'0 Úvod'!$D$65:$N$67,2,FALSE),0.0229)</f>
        <v>2.29E-2</v>
      </c>
      <c r="G107" s="448">
        <f>$D$107*IFERROR(HLOOKUP(G$105,'0 Úvod'!$D$65:$N$67,2,FALSE),0.0229)</f>
        <v>2.29E-2</v>
      </c>
      <c r="H107" s="448">
        <f>$D$107*IFERROR(HLOOKUP(H$105,'0 Úvod'!$D$65:$N$67,2,FALSE),0.0229)</f>
        <v>2.29E-2</v>
      </c>
      <c r="I107" s="448">
        <f>$D$107*IFERROR(HLOOKUP(I$105,'0 Úvod'!$D$65:$N$67,2,FALSE),0.0229)</f>
        <v>2.29E-2</v>
      </c>
      <c r="J107" s="448">
        <f>$D$107*IFERROR(HLOOKUP(J$105,'0 Úvod'!$D$65:$N$67,2,FALSE),0.0229)</f>
        <v>2.29E-2</v>
      </c>
      <c r="K107" s="448">
        <f>$D$107*IFERROR(HLOOKUP(K$105,'0 Úvod'!$D$65:$N$67,2,FALSE),0.0229)</f>
        <v>2.29E-2</v>
      </c>
      <c r="L107" s="448">
        <f>$D$107*IFERROR(HLOOKUP(L$105,'0 Úvod'!$D$65:$N$67,2,FALSE),0.0229)</f>
        <v>2.29E-2</v>
      </c>
      <c r="M107" s="448">
        <f>$D$107*IFERROR(HLOOKUP(M$105,'0 Úvod'!$D$65:$N$67,2,FALSE),0.0229)</f>
        <v>2.29E-2</v>
      </c>
      <c r="N107" s="448">
        <f>$D$107*IFERROR(HLOOKUP(N$105,'0 Úvod'!$D$65:$N$67,2,FALSE),0.0229)</f>
        <v>2.29E-2</v>
      </c>
      <c r="O107" s="448">
        <f>$D$107*IFERROR(HLOOKUP(O$105,'0 Úvod'!$D$65:$N$67,2,FALSE),0.0229)</f>
        <v>2.29E-2</v>
      </c>
      <c r="P107" s="448">
        <f>$D$107*IFERROR(HLOOKUP(P$105,'0 Úvod'!$D$65:$N$67,2,FALSE),0.0229)</f>
        <v>2.29E-2</v>
      </c>
      <c r="Q107" s="448">
        <f>$D$107*IFERROR(HLOOKUP(Q$105,'0 Úvod'!$D$65:$N$67,2,FALSE),0.0229)</f>
        <v>2.29E-2</v>
      </c>
      <c r="R107" s="448">
        <f>$D$107*IFERROR(HLOOKUP(R$105,'0 Úvod'!$D$65:$N$67,2,FALSE),0.0229)</f>
        <v>2.29E-2</v>
      </c>
      <c r="S107" s="449">
        <f>$D$107*IFERROR(HLOOKUP(S$105,'0 Úvod'!$D$65:$N$67,2,FALSE),0.0229)</f>
        <v>2.29E-2</v>
      </c>
      <c r="T107" s="476"/>
      <c r="U107" s="476"/>
      <c r="V107" s="476"/>
      <c r="W107" s="476"/>
      <c r="X107" s="476"/>
      <c r="Y107" s="476"/>
      <c r="Z107" s="476"/>
      <c r="AA107" s="476"/>
      <c r="AB107" s="476"/>
      <c r="AC107" s="476"/>
    </row>
    <row r="108" spans="2:29" ht="14.25" x14ac:dyDescent="0.3">
      <c r="B108" s="438"/>
      <c r="C108" s="441" t="str">
        <f>IF('0 Úvod'!$M$10="English",Slovnik!D143,Slovnik!C143)</f>
        <v>Dozorčí provozu</v>
      </c>
      <c r="D108" s="444"/>
      <c r="E108" s="450">
        <f>IFERROR(D91*IF('0 Úvod'!$D$18&gt;HLOOKUP('0 Úvod'!$D$18,'0 Úvod'!$K$40:$N$42,1,TRUE),'0 Úvod'!$N$42*(1+0.0163)^('0 Úvod'!$D$18-'0 Úvod'!$N$40),HLOOKUP('0 Úvod'!$D$18,'0 Úvod'!$K$40:$N$42,3,TRUE))*IF($E$105&gt;HLOOKUP($E$105,'0 Úvod'!$K$65:$N$67,1,TRUE),'0 Úvod'!$N$67*(1+0.0229)^($E$105-'0 Úvod'!$N$65),HLOOKUP($E$105,'0 Úvod'!$K$65:$N$67,3,TRUE)),0)</f>
        <v>794985.95546744764</v>
      </c>
      <c r="F108" s="451">
        <f>E108*(1+F$107)</f>
        <v>813191.13384765212</v>
      </c>
      <c r="G108" s="451">
        <f t="shared" ref="G108:S108" si="42">F108*(1+G$107)</f>
        <v>831813.21081276331</v>
      </c>
      <c r="H108" s="451">
        <f t="shared" si="42"/>
        <v>850861.73334037547</v>
      </c>
      <c r="I108" s="451">
        <f t="shared" si="42"/>
        <v>870346.46703387005</v>
      </c>
      <c r="J108" s="451">
        <f t="shared" si="42"/>
        <v>890277.40112894564</v>
      </c>
      <c r="K108" s="451">
        <f t="shared" si="42"/>
        <v>910664.75361479842</v>
      </c>
      <c r="L108" s="451">
        <f t="shared" si="42"/>
        <v>931518.9764725772</v>
      </c>
      <c r="M108" s="451">
        <f t="shared" si="42"/>
        <v>952850.76103379915</v>
      </c>
      <c r="N108" s="451">
        <f t="shared" si="42"/>
        <v>974671.04346147308</v>
      </c>
      <c r="O108" s="451">
        <f t="shared" si="42"/>
        <v>996991.01035674068</v>
      </c>
      <c r="P108" s="451">
        <f t="shared" si="42"/>
        <v>1019822.10449391</v>
      </c>
      <c r="Q108" s="451">
        <f t="shared" si="42"/>
        <v>1043176.0306868204</v>
      </c>
      <c r="R108" s="451">
        <f t="shared" si="42"/>
        <v>1067064.7617895484</v>
      </c>
      <c r="S108" s="452">
        <f t="shared" si="42"/>
        <v>1091500.544834529</v>
      </c>
      <c r="T108" s="476"/>
      <c r="U108" s="476"/>
      <c r="V108" s="476"/>
      <c r="W108" s="476"/>
      <c r="X108" s="476"/>
      <c r="Y108" s="476"/>
      <c r="Z108" s="476"/>
      <c r="AA108" s="476"/>
      <c r="AB108" s="476"/>
      <c r="AC108" s="476"/>
    </row>
    <row r="109" spans="2:29" ht="14.25" x14ac:dyDescent="0.3">
      <c r="B109" s="439"/>
      <c r="C109" s="442" t="str">
        <f>IF('0 Úvod'!$M$10="English",Slovnik!D144,Slovnik!C144)</f>
        <v>Výpravčí</v>
      </c>
      <c r="D109" s="445"/>
      <c r="E109" s="453">
        <f>IFERROR(D92*IF('0 Úvod'!$D$18&gt;HLOOKUP('0 Úvod'!$D$18,'0 Úvod'!$K$40:$N$42,1,TRUE),'0 Úvod'!$N$42*(1+0.0163)^('0 Úvod'!$D$18-'0 Úvod'!$N$40),HLOOKUP('0 Úvod'!$D$18,'0 Úvod'!$K$40:$N$42,3,TRUE))*IF($E$105&gt;HLOOKUP($E$105,'0 Úvod'!$K$65:$N$67,1,TRUE),'0 Úvod'!$N$67*(1+0.0229)^($E$105-'0 Úvod'!$N$65),HLOOKUP($E$105,'0 Úvod'!$K$65:$N$67,3,TRUE)),0)</f>
        <v>691746.59617342241</v>
      </c>
      <c r="F109" s="454">
        <f t="shared" ref="F109:F120" si="43">E109*(1+F$107)</f>
        <v>707587.59322579368</v>
      </c>
      <c r="G109" s="454">
        <f t="shared" ref="G109:S109" si="44">F109*(1+G$107)</f>
        <v>723791.34911066433</v>
      </c>
      <c r="H109" s="454">
        <f t="shared" si="44"/>
        <v>740366.1710052985</v>
      </c>
      <c r="I109" s="454">
        <f t="shared" si="44"/>
        <v>757320.55632131977</v>
      </c>
      <c r="J109" s="454">
        <f t="shared" si="44"/>
        <v>774663.19706107792</v>
      </c>
      <c r="K109" s="454">
        <f t="shared" si="44"/>
        <v>792402.98427377653</v>
      </c>
      <c r="L109" s="454">
        <f t="shared" si="44"/>
        <v>810549.01261364599</v>
      </c>
      <c r="M109" s="454">
        <f t="shared" si="44"/>
        <v>829110.58500249847</v>
      </c>
      <c r="N109" s="454">
        <f t="shared" si="44"/>
        <v>848097.2173990556</v>
      </c>
      <c r="O109" s="454">
        <f t="shared" si="44"/>
        <v>867518.64367749391</v>
      </c>
      <c r="P109" s="454">
        <f t="shared" si="44"/>
        <v>887384.82061770849</v>
      </c>
      <c r="Q109" s="454">
        <f t="shared" si="44"/>
        <v>907705.93300985394</v>
      </c>
      <c r="R109" s="454">
        <f t="shared" si="44"/>
        <v>928492.39887577947</v>
      </c>
      <c r="S109" s="455">
        <f t="shared" si="44"/>
        <v>949754.87481003476</v>
      </c>
      <c r="T109" s="476"/>
      <c r="U109" s="476"/>
      <c r="V109" s="476"/>
      <c r="W109" s="476"/>
      <c r="X109" s="476"/>
      <c r="Y109" s="476"/>
      <c r="Z109" s="476"/>
      <c r="AA109" s="476"/>
      <c r="AB109" s="476"/>
      <c r="AC109" s="476"/>
    </row>
    <row r="110" spans="2:29" ht="14.25" x14ac:dyDescent="0.3">
      <c r="B110" s="439"/>
      <c r="C110" s="442" t="str">
        <f>IF('0 Úvod'!$M$10="English",Slovnik!D145,Slovnik!C145)</f>
        <v>Dozorčí provozu – vedoucí směny</v>
      </c>
      <c r="D110" s="445"/>
      <c r="E110" s="453">
        <f>IFERROR(D93*IF('0 Úvod'!$D$18&gt;HLOOKUP('0 Úvod'!$D$18,'0 Úvod'!$K$40:$N$42,1,TRUE),'0 Úvod'!$N$42*(1+0.0163)^('0 Úvod'!$D$18-'0 Úvod'!$N$40),HLOOKUP('0 Úvod'!$D$18,'0 Úvod'!$K$40:$N$42,3,TRUE))*IF($E$105&gt;HLOOKUP($E$105,'0 Úvod'!$K$65:$N$67,1,TRUE),'0 Úvod'!$N$67*(1+0.0229)^($E$105-'0 Úvod'!$N$65),HLOOKUP($E$105,'0 Úvod'!$K$65:$N$67,3,TRUE)),0)</f>
        <v>793487.35196960543</v>
      </c>
      <c r="F110" s="454">
        <f t="shared" si="43"/>
        <v>811658.21232970932</v>
      </c>
      <c r="G110" s="454">
        <f t="shared" ref="G110:S110" si="45">F110*(1+G$107)</f>
        <v>830245.18539205962</v>
      </c>
      <c r="H110" s="454">
        <f t="shared" si="45"/>
        <v>849257.80013753776</v>
      </c>
      <c r="I110" s="454">
        <f t="shared" si="45"/>
        <v>868705.80376068735</v>
      </c>
      <c r="J110" s="454">
        <f t="shared" si="45"/>
        <v>888599.16666680702</v>
      </c>
      <c r="K110" s="454">
        <f t="shared" si="45"/>
        <v>908948.08758347679</v>
      </c>
      <c r="L110" s="454">
        <f t="shared" si="45"/>
        <v>929762.99878913839</v>
      </c>
      <c r="M110" s="454">
        <f t="shared" si="45"/>
        <v>951054.57146140956</v>
      </c>
      <c r="N110" s="454">
        <f t="shared" si="45"/>
        <v>972833.72114787577</v>
      </c>
      <c r="O110" s="454">
        <f t="shared" si="45"/>
        <v>995111.61336216202</v>
      </c>
      <c r="P110" s="454">
        <f t="shared" si="45"/>
        <v>1017899.6693081554</v>
      </c>
      <c r="Q110" s="454">
        <f t="shared" si="45"/>
        <v>1041209.5717353121</v>
      </c>
      <c r="R110" s="454">
        <f t="shared" si="45"/>
        <v>1065053.2709280506</v>
      </c>
      <c r="S110" s="455">
        <f t="shared" si="45"/>
        <v>1089442.990832303</v>
      </c>
      <c r="T110" s="476"/>
      <c r="U110" s="476"/>
      <c r="V110" s="476"/>
      <c r="W110" s="476"/>
      <c r="X110" s="476"/>
      <c r="Y110" s="476"/>
      <c r="Z110" s="476"/>
      <c r="AA110" s="476"/>
      <c r="AB110" s="476"/>
      <c r="AC110" s="476"/>
    </row>
    <row r="111" spans="2:29" ht="14.25" x14ac:dyDescent="0.3">
      <c r="B111" s="439"/>
      <c r="C111" s="442" t="str">
        <f>IF('0 Úvod'!$M$10="English",Slovnik!D146,Slovnik!C146)</f>
        <v>Operátor železniční dopravy</v>
      </c>
      <c r="D111" s="445"/>
      <c r="E111" s="453">
        <f>IFERROR(D94*IF('0 Úvod'!$D$18&gt;HLOOKUP('0 Úvod'!$D$18,'0 Úvod'!$K$40:$N$42,1,TRUE),'0 Úvod'!$N$42*(1+0.0163)^('0 Úvod'!$D$18-'0 Úvod'!$N$40),HLOOKUP('0 Úvod'!$D$18,'0 Úvod'!$K$40:$N$42,3,TRUE))*IF($E$105&gt;HLOOKUP($E$105,'0 Úvod'!$K$65:$N$67,1,TRUE),'0 Úvod'!$N$67*(1+0.0229)^($E$105-'0 Úvod'!$N$65),HLOOKUP($E$105,'0 Úvod'!$K$65:$N$67,3,TRUE)),0)</f>
        <v>483291.47665432631</v>
      </c>
      <c r="F111" s="454">
        <f t="shared" si="43"/>
        <v>494358.85146971035</v>
      </c>
      <c r="G111" s="454">
        <f t="shared" ref="G111:S111" si="46">F111*(1+G$107)</f>
        <v>505679.6691683667</v>
      </c>
      <c r="H111" s="454">
        <f t="shared" si="46"/>
        <v>517259.73359232227</v>
      </c>
      <c r="I111" s="454">
        <f t="shared" si="46"/>
        <v>529104.98149158643</v>
      </c>
      <c r="J111" s="454">
        <f t="shared" si="46"/>
        <v>541221.48556774366</v>
      </c>
      <c r="K111" s="454">
        <f t="shared" si="46"/>
        <v>553615.45758724492</v>
      </c>
      <c r="L111" s="454">
        <f t="shared" si="46"/>
        <v>566293.25156599283</v>
      </c>
      <c r="M111" s="454">
        <f t="shared" si="46"/>
        <v>579261.36702685407</v>
      </c>
      <c r="N111" s="454">
        <f t="shared" si="46"/>
        <v>592526.45233176893</v>
      </c>
      <c r="O111" s="454">
        <f t="shared" si="46"/>
        <v>606095.30809016642</v>
      </c>
      <c r="P111" s="454">
        <f t="shared" si="46"/>
        <v>619974.89064543124</v>
      </c>
      <c r="Q111" s="454">
        <f t="shared" si="46"/>
        <v>634172.31564121158</v>
      </c>
      <c r="R111" s="454">
        <f t="shared" si="46"/>
        <v>648694.86166939524</v>
      </c>
      <c r="S111" s="455">
        <f t="shared" si="46"/>
        <v>663549.97400162439</v>
      </c>
      <c r="T111" s="476"/>
      <c r="U111" s="476"/>
      <c r="V111" s="476"/>
      <c r="W111" s="476"/>
      <c r="X111" s="476"/>
      <c r="Y111" s="476"/>
      <c r="Z111" s="476"/>
      <c r="AA111" s="476"/>
      <c r="AB111" s="476"/>
      <c r="AC111" s="476"/>
    </row>
    <row r="112" spans="2:29" ht="14.25" x14ac:dyDescent="0.3">
      <c r="B112" s="439"/>
      <c r="C112" s="442" t="str">
        <f>IF('0 Úvod'!$M$10="English",Slovnik!D147,Slovnik!C147)</f>
        <v>Signalista</v>
      </c>
      <c r="D112" s="445"/>
      <c r="E112" s="453">
        <f>IFERROR(D95*IF('0 Úvod'!$D$18&gt;HLOOKUP('0 Úvod'!$D$18,'0 Úvod'!$K$40:$N$42,1,TRUE),'0 Úvod'!$N$42*(1+0.0163)^('0 Úvod'!$D$18-'0 Úvod'!$N$40),HLOOKUP('0 Úvod'!$D$18,'0 Úvod'!$K$40:$N$42,3,TRUE))*IF($E$105&gt;HLOOKUP($E$105,'0 Úvod'!$K$65:$N$67,1,TRUE),'0 Úvod'!$N$67*(1+0.0229)^($E$105-'0 Úvod'!$N$65),HLOOKUP($E$105,'0 Úvod'!$K$65:$N$67,3,TRUE)),0)</f>
        <v>527237.5539554843</v>
      </c>
      <c r="F112" s="454">
        <f t="shared" si="43"/>
        <v>539311.29394106485</v>
      </c>
      <c r="G112" s="454">
        <f t="shared" ref="G112:S112" si="47">F112*(1+G$107)</f>
        <v>551661.52257231518</v>
      </c>
      <c r="H112" s="454">
        <f t="shared" si="47"/>
        <v>564294.57143922115</v>
      </c>
      <c r="I112" s="454">
        <f t="shared" si="47"/>
        <v>577216.91712517932</v>
      </c>
      <c r="J112" s="454">
        <f t="shared" si="47"/>
        <v>590435.18452734593</v>
      </c>
      <c r="K112" s="454">
        <f t="shared" si="47"/>
        <v>603956.15025302209</v>
      </c>
      <c r="L112" s="454">
        <f t="shared" si="47"/>
        <v>617786.74609381624</v>
      </c>
      <c r="M112" s="454">
        <f t="shared" si="47"/>
        <v>631934.06257936463</v>
      </c>
      <c r="N112" s="454">
        <f t="shared" si="47"/>
        <v>646405.35261243198</v>
      </c>
      <c r="O112" s="454">
        <f t="shared" si="47"/>
        <v>661208.03518725664</v>
      </c>
      <c r="P112" s="454">
        <f t="shared" si="47"/>
        <v>676349.6991930448</v>
      </c>
      <c r="Q112" s="454">
        <f t="shared" si="47"/>
        <v>691838.10730456549</v>
      </c>
      <c r="R112" s="454">
        <f t="shared" si="47"/>
        <v>707681.19996183994</v>
      </c>
      <c r="S112" s="455">
        <f t="shared" si="47"/>
        <v>723887.09944096603</v>
      </c>
      <c r="T112" s="476"/>
      <c r="U112" s="476"/>
      <c r="V112" s="476"/>
      <c r="W112" s="476"/>
      <c r="X112" s="476"/>
      <c r="Y112" s="476"/>
      <c r="Z112" s="476"/>
      <c r="AA112" s="476"/>
      <c r="AB112" s="476"/>
      <c r="AC112" s="476"/>
    </row>
    <row r="113" spans="2:29" ht="14.25" x14ac:dyDescent="0.3">
      <c r="B113" s="439"/>
      <c r="C113" s="442" t="str">
        <f>IF('0 Úvod'!$M$10="English",Slovnik!D148,Slovnik!C148)</f>
        <v>Výhybkář</v>
      </c>
      <c r="D113" s="445"/>
      <c r="E113" s="453">
        <f>IFERROR(D96*IF('0 Úvod'!$D$18&gt;HLOOKUP('0 Úvod'!$D$18,'0 Úvod'!$K$40:$N$42,1,TRUE),'0 Úvod'!$N$42*(1+0.0163)^('0 Úvod'!$D$18-'0 Úvod'!$N$40),HLOOKUP('0 Úvod'!$D$18,'0 Úvod'!$K$40:$N$42,3,TRUE))*IF($E$105&gt;HLOOKUP($E$105,'0 Úvod'!$K$65:$N$67,1,TRUE),'0 Úvod'!$N$67*(1+0.0229)^($E$105-'0 Úvod'!$N$65),HLOOKUP($E$105,'0 Úvod'!$K$65:$N$67,3,TRUE)),0)</f>
        <v>414073.55191507988</v>
      </c>
      <c r="F113" s="454">
        <f t="shared" si="43"/>
        <v>423555.83625393518</v>
      </c>
      <c r="G113" s="454">
        <f t="shared" ref="G113:S113" si="48">F113*(1+G$107)</f>
        <v>433255.26490415027</v>
      </c>
      <c r="H113" s="454">
        <f t="shared" si="48"/>
        <v>443176.81047045527</v>
      </c>
      <c r="I113" s="454">
        <f t="shared" si="48"/>
        <v>453325.55943022866</v>
      </c>
      <c r="J113" s="454">
        <f t="shared" si="48"/>
        <v>463706.71474118088</v>
      </c>
      <c r="K113" s="454">
        <f t="shared" si="48"/>
        <v>474325.59850875387</v>
      </c>
      <c r="L113" s="454">
        <f t="shared" si="48"/>
        <v>485187.65471460432</v>
      </c>
      <c r="M113" s="454">
        <f t="shared" si="48"/>
        <v>496298.45200756873</v>
      </c>
      <c r="N113" s="454">
        <f t="shared" si="48"/>
        <v>507663.68655854202</v>
      </c>
      <c r="O113" s="454">
        <f t="shared" si="48"/>
        <v>519289.18498073256</v>
      </c>
      <c r="P113" s="454">
        <f t="shared" si="48"/>
        <v>531180.90731679124</v>
      </c>
      <c r="Q113" s="454">
        <f t="shared" si="48"/>
        <v>543344.95009434572</v>
      </c>
      <c r="R113" s="454">
        <f t="shared" si="48"/>
        <v>555787.54945150623</v>
      </c>
      <c r="S113" s="455">
        <f t="shared" si="48"/>
        <v>568515.08433394565</v>
      </c>
      <c r="T113" s="476"/>
      <c r="U113" s="476"/>
      <c r="V113" s="476"/>
      <c r="W113" s="476"/>
      <c r="X113" s="476"/>
      <c r="Y113" s="476"/>
      <c r="Z113" s="476"/>
      <c r="AA113" s="476"/>
      <c r="AB113" s="476"/>
      <c r="AC113" s="476"/>
    </row>
    <row r="114" spans="2:29" ht="14.25" x14ac:dyDescent="0.3">
      <c r="B114" s="439"/>
      <c r="C114" s="442" t="str">
        <f>IF('0 Úvod'!$M$10="English",Slovnik!D149,Slovnik!C149)</f>
        <v>Staniční dozorce</v>
      </c>
      <c r="D114" s="445"/>
      <c r="E114" s="453">
        <f>IFERROR(D97*IF('0 Úvod'!$D$18&gt;HLOOKUP('0 Úvod'!$D$18,'0 Úvod'!$K$40:$N$42,1,TRUE),'0 Úvod'!$N$42*(1+0.0163)^('0 Úvod'!$D$18-'0 Úvod'!$N$40),HLOOKUP('0 Úvod'!$D$18,'0 Úvod'!$K$40:$N$42,3,TRUE))*IF($E$105&gt;HLOOKUP($E$105,'0 Úvod'!$K$65:$N$67,1,TRUE),'0 Úvod'!$N$67*(1+0.0229)^($E$105-'0 Úvod'!$N$65),HLOOKUP($E$105,'0 Úvod'!$K$65:$N$67,3,TRUE)),0)</f>
        <v>475567.71184829285</v>
      </c>
      <c r="F114" s="454">
        <f t="shared" si="43"/>
        <v>486458.21244961873</v>
      </c>
      <c r="G114" s="454">
        <f t="shared" ref="G114:S114" si="49">F114*(1+G$107)</f>
        <v>497598.10551471496</v>
      </c>
      <c r="H114" s="454">
        <f t="shared" si="49"/>
        <v>508993.10213100188</v>
      </c>
      <c r="I114" s="454">
        <f t="shared" si="49"/>
        <v>520649.04416980181</v>
      </c>
      <c r="J114" s="454">
        <f t="shared" si="49"/>
        <v>532571.90728129027</v>
      </c>
      <c r="K114" s="454">
        <f t="shared" si="49"/>
        <v>544767.80395803181</v>
      </c>
      <c r="L114" s="454">
        <f t="shared" si="49"/>
        <v>557242.98666867067</v>
      </c>
      <c r="M114" s="454">
        <f t="shared" si="49"/>
        <v>570003.85106338316</v>
      </c>
      <c r="N114" s="454">
        <f t="shared" si="49"/>
        <v>583056.93925273453</v>
      </c>
      <c r="O114" s="454">
        <f t="shared" si="49"/>
        <v>596408.94316162216</v>
      </c>
      <c r="P114" s="454">
        <f t="shared" si="49"/>
        <v>610066.70796002331</v>
      </c>
      <c r="Q114" s="454">
        <f t="shared" si="49"/>
        <v>624037.23557230784</v>
      </c>
      <c r="R114" s="454">
        <f t="shared" si="49"/>
        <v>638327.68826691364</v>
      </c>
      <c r="S114" s="455">
        <f t="shared" si="49"/>
        <v>652945.39232822589</v>
      </c>
      <c r="T114" s="476"/>
      <c r="U114" s="476"/>
      <c r="V114" s="476"/>
      <c r="W114" s="476"/>
      <c r="X114" s="476"/>
      <c r="Y114" s="476"/>
      <c r="Z114" s="476"/>
      <c r="AA114" s="476"/>
      <c r="AB114" s="476"/>
      <c r="AC114" s="476"/>
    </row>
    <row r="115" spans="2:29" ht="14.25" x14ac:dyDescent="0.3">
      <c r="B115" s="439"/>
      <c r="C115" s="442" t="str">
        <f>IF('0 Úvod'!$M$10="English",Slovnik!D150,Slovnik!C150)</f>
        <v>Dozorce výhybek</v>
      </c>
      <c r="D115" s="445"/>
      <c r="E115" s="453">
        <f>IFERROR(D98*IF('0 Úvod'!$D$18&gt;HLOOKUP('0 Úvod'!$D$18,'0 Úvod'!$K$40:$N$42,1,TRUE),'0 Úvod'!$N$42*(1+0.0163)^('0 Úvod'!$D$18-'0 Úvod'!$N$40),HLOOKUP('0 Úvod'!$D$18,'0 Úvod'!$K$40:$N$42,3,TRUE))*IF($E$105&gt;HLOOKUP($E$105,'0 Úvod'!$K$65:$N$67,1,TRUE),'0 Úvod'!$N$67*(1+0.0229)^($E$105-'0 Úvod'!$N$65),HLOOKUP($E$105,'0 Úvod'!$K$65:$N$67,3,TRUE)),0)</f>
        <v>455537.84149889083</v>
      </c>
      <c r="F115" s="454">
        <f t="shared" si="43"/>
        <v>465969.65806921542</v>
      </c>
      <c r="G115" s="454">
        <f t="shared" ref="G115:S115" si="50">F115*(1+G$107)</f>
        <v>476640.36323900043</v>
      </c>
      <c r="H115" s="454">
        <f t="shared" si="50"/>
        <v>487555.42755717353</v>
      </c>
      <c r="I115" s="454">
        <f t="shared" si="50"/>
        <v>498720.44684823276</v>
      </c>
      <c r="J115" s="454">
        <f t="shared" si="50"/>
        <v>510141.14508105727</v>
      </c>
      <c r="K115" s="454">
        <f t="shared" si="50"/>
        <v>521823.37730341346</v>
      </c>
      <c r="L115" s="454">
        <f t="shared" si="50"/>
        <v>533773.13264366158</v>
      </c>
      <c r="M115" s="454">
        <f t="shared" si="50"/>
        <v>545996.5373812014</v>
      </c>
      <c r="N115" s="454">
        <f t="shared" si="50"/>
        <v>558499.85808723082</v>
      </c>
      <c r="O115" s="454">
        <f t="shared" si="50"/>
        <v>571289.50483742834</v>
      </c>
      <c r="P115" s="454">
        <f t="shared" si="50"/>
        <v>584372.03449820541</v>
      </c>
      <c r="Q115" s="454">
        <f t="shared" si="50"/>
        <v>597754.15408821427</v>
      </c>
      <c r="R115" s="454">
        <f t="shared" si="50"/>
        <v>611442.72421683429</v>
      </c>
      <c r="S115" s="455">
        <f t="shared" si="50"/>
        <v>625444.76260139979</v>
      </c>
      <c r="T115" s="476"/>
      <c r="U115" s="476"/>
      <c r="V115" s="476"/>
      <c r="W115" s="476"/>
      <c r="X115" s="476"/>
      <c r="Y115" s="476"/>
      <c r="Z115" s="476"/>
      <c r="AA115" s="476"/>
      <c r="AB115" s="476"/>
      <c r="AC115" s="476"/>
    </row>
    <row r="116" spans="2:29" ht="14.25" x14ac:dyDescent="0.3">
      <c r="B116" s="439"/>
      <c r="C116" s="442" t="str">
        <f>IF('0 Úvod'!$M$10="English",Slovnik!D151,Slovnik!C151)</f>
        <v>Závorář</v>
      </c>
      <c r="D116" s="445"/>
      <c r="E116" s="453">
        <f>IFERROR(D99*IF('0 Úvod'!$D$18&gt;HLOOKUP('0 Úvod'!$D$18,'0 Úvod'!$K$40:$N$42,1,TRUE),'0 Úvod'!$N$42*(1+0.0163)^('0 Úvod'!$D$18-'0 Úvod'!$N$40),HLOOKUP('0 Úvod'!$D$18,'0 Úvod'!$K$40:$N$42,3,TRUE))*IF($E$105&gt;HLOOKUP($E$105,'0 Úvod'!$K$65:$N$67,1,TRUE),'0 Úvod'!$N$67*(1+0.0229)^($E$105-'0 Úvod'!$N$65),HLOOKUP($E$105,'0 Úvod'!$K$65:$N$67,3,TRUE)),0)</f>
        <v>400821.88399734063</v>
      </c>
      <c r="F116" s="454">
        <f t="shared" si="43"/>
        <v>410000.70514087967</v>
      </c>
      <c r="G116" s="454">
        <f t="shared" ref="G116:S116" si="51">F116*(1+G$107)</f>
        <v>419389.72128860577</v>
      </c>
      <c r="H116" s="454">
        <f t="shared" si="51"/>
        <v>428993.74590611481</v>
      </c>
      <c r="I116" s="454">
        <f t="shared" si="51"/>
        <v>438817.70268736483</v>
      </c>
      <c r="J116" s="454">
        <f t="shared" si="51"/>
        <v>448866.62807890546</v>
      </c>
      <c r="K116" s="454">
        <f t="shared" si="51"/>
        <v>459145.67386191234</v>
      </c>
      <c r="L116" s="454">
        <f t="shared" si="51"/>
        <v>469660.1097933501</v>
      </c>
      <c r="M116" s="454">
        <f t="shared" si="51"/>
        <v>480415.32630761777</v>
      </c>
      <c r="N116" s="454">
        <f t="shared" si="51"/>
        <v>491416.8372800622</v>
      </c>
      <c r="O116" s="454">
        <f t="shared" si="51"/>
        <v>502670.2828537756</v>
      </c>
      <c r="P116" s="454">
        <f t="shared" si="51"/>
        <v>514181.432331127</v>
      </c>
      <c r="Q116" s="454">
        <f t="shared" si="51"/>
        <v>525956.18713150977</v>
      </c>
      <c r="R116" s="454">
        <f t="shared" si="51"/>
        <v>538000.58381682134</v>
      </c>
      <c r="S116" s="455">
        <f t="shared" si="51"/>
        <v>550320.79718622647</v>
      </c>
      <c r="T116" s="476"/>
      <c r="U116" s="476"/>
      <c r="V116" s="476"/>
      <c r="W116" s="476"/>
      <c r="X116" s="476"/>
      <c r="Y116" s="476"/>
      <c r="Z116" s="476"/>
      <c r="AA116" s="476"/>
      <c r="AB116" s="476"/>
      <c r="AC116" s="476"/>
    </row>
    <row r="117" spans="2:29" ht="14.25" x14ac:dyDescent="0.3">
      <c r="B117" s="439"/>
      <c r="C117" s="442" t="str">
        <f>IF('0 Úvod'!$M$10="English",Slovnik!D152,Slovnik!C152)</f>
        <v>Závorář s prodejem jízdenek</v>
      </c>
      <c r="D117" s="445"/>
      <c r="E117" s="453">
        <f>IFERROR(D100*IF('0 Úvod'!$D$18&gt;HLOOKUP('0 Úvod'!$D$18,'0 Úvod'!$K$40:$N$42,1,TRUE),'0 Úvod'!$N$42*(1+0.0163)^('0 Úvod'!$D$18-'0 Úvod'!$N$40),HLOOKUP('0 Úvod'!$D$18,'0 Úvod'!$K$40:$N$42,3,TRUE))*IF($E$105&gt;HLOOKUP($E$105,'0 Úvod'!$K$65:$N$67,1,TRUE),'0 Úvod'!$N$67*(1+0.0229)^($E$105-'0 Úvod'!$N$65),HLOOKUP($E$105,'0 Úvod'!$K$65:$N$67,3,TRUE)),0)</f>
        <v>408554.42723390542</v>
      </c>
      <c r="F117" s="454">
        <f t="shared" si="43"/>
        <v>417910.32361756184</v>
      </c>
      <c r="G117" s="454">
        <f t="shared" ref="G117:S117" si="52">F117*(1+G$107)</f>
        <v>427480.47002840397</v>
      </c>
      <c r="H117" s="454">
        <f t="shared" si="52"/>
        <v>437269.7727920544</v>
      </c>
      <c r="I117" s="454">
        <f t="shared" si="52"/>
        <v>447283.25058899244</v>
      </c>
      <c r="J117" s="454">
        <f t="shared" si="52"/>
        <v>457526.03702748031</v>
      </c>
      <c r="K117" s="454">
        <f t="shared" si="52"/>
        <v>468003.38327540958</v>
      </c>
      <c r="L117" s="454">
        <f t="shared" si="52"/>
        <v>478720.66075241641</v>
      </c>
      <c r="M117" s="454">
        <f t="shared" si="52"/>
        <v>489683.36388364673</v>
      </c>
      <c r="N117" s="454">
        <f t="shared" si="52"/>
        <v>500897.11291658221</v>
      </c>
      <c r="O117" s="454">
        <f t="shared" si="52"/>
        <v>512367.6568023719</v>
      </c>
      <c r="P117" s="454">
        <f t="shared" si="52"/>
        <v>524100.87614314619</v>
      </c>
      <c r="Q117" s="454">
        <f t="shared" si="52"/>
        <v>536102.78620682424</v>
      </c>
      <c r="R117" s="454">
        <f t="shared" si="52"/>
        <v>548379.54001096042</v>
      </c>
      <c r="S117" s="455">
        <f t="shared" si="52"/>
        <v>560937.43147721142</v>
      </c>
      <c r="T117" s="476"/>
      <c r="U117" s="476"/>
      <c r="V117" s="476"/>
      <c r="W117" s="476"/>
      <c r="X117" s="476"/>
      <c r="Y117" s="476"/>
      <c r="Z117" s="476"/>
      <c r="AA117" s="476"/>
      <c r="AB117" s="476"/>
      <c r="AC117" s="476"/>
    </row>
    <row r="118" spans="2:29" ht="14.25" x14ac:dyDescent="0.3">
      <c r="B118" s="439"/>
      <c r="C118" s="442" t="str">
        <f>IF('0 Úvod'!$M$10="English",Slovnik!D153,Slovnik!C153)</f>
        <v>Hradlář – hláskař</v>
      </c>
      <c r="D118" s="445"/>
      <c r="E118" s="453">
        <f>IFERROR(D101*IF('0 Úvod'!$D$18&gt;HLOOKUP('0 Úvod'!$D$18,'0 Úvod'!$K$40:$N$42,1,TRUE),'0 Úvod'!$N$42*(1+0.0163)^('0 Úvod'!$D$18-'0 Úvod'!$N$40),HLOOKUP('0 Úvod'!$D$18,'0 Úvod'!$K$40:$N$42,3,TRUE))*IF($E$105&gt;HLOOKUP($E$105,'0 Úvod'!$K$65:$N$67,1,TRUE),'0 Úvod'!$N$67*(1+0.0229)^($E$105-'0 Úvod'!$N$65),HLOOKUP($E$105,'0 Úvod'!$K$65:$N$67,3,TRUE)),0)</f>
        <v>436672.99428714183</v>
      </c>
      <c r="F118" s="454">
        <f t="shared" si="43"/>
        <v>446672.80585631734</v>
      </c>
      <c r="G118" s="454">
        <f t="shared" ref="G118:S118" si="53">F118*(1+G$107)</f>
        <v>456901.61311042699</v>
      </c>
      <c r="H118" s="454">
        <f t="shared" si="53"/>
        <v>467364.66005065572</v>
      </c>
      <c r="I118" s="454">
        <f t="shared" si="53"/>
        <v>478067.31076581567</v>
      </c>
      <c r="J118" s="454">
        <f t="shared" si="53"/>
        <v>489015.05218235281</v>
      </c>
      <c r="K118" s="454">
        <f t="shared" si="53"/>
        <v>500213.49687732867</v>
      </c>
      <c r="L118" s="454">
        <f t="shared" si="53"/>
        <v>511668.38595581945</v>
      </c>
      <c r="M118" s="454">
        <f t="shared" si="53"/>
        <v>523385.5919942077</v>
      </c>
      <c r="N118" s="454">
        <f t="shared" si="53"/>
        <v>535371.12205087498</v>
      </c>
      <c r="O118" s="454">
        <f t="shared" si="53"/>
        <v>547631.12074584002</v>
      </c>
      <c r="P118" s="454">
        <f t="shared" si="53"/>
        <v>560171.87341091968</v>
      </c>
      <c r="Q118" s="454">
        <f t="shared" si="53"/>
        <v>572999.80931202974</v>
      </c>
      <c r="R118" s="454">
        <f t="shared" si="53"/>
        <v>586121.50494527514</v>
      </c>
      <c r="S118" s="455">
        <f t="shared" si="53"/>
        <v>599543.68740852189</v>
      </c>
      <c r="T118" s="476"/>
      <c r="U118" s="476"/>
      <c r="V118" s="476"/>
      <c r="W118" s="476"/>
      <c r="X118" s="476"/>
      <c r="Y118" s="476"/>
      <c r="Z118" s="476"/>
      <c r="AA118" s="476"/>
      <c r="AB118" s="476"/>
      <c r="AC118" s="476"/>
    </row>
    <row r="119" spans="2:29" ht="14.25" x14ac:dyDescent="0.3">
      <c r="B119" s="439"/>
      <c r="C119" s="442" t="str">
        <f>IF('0 Úvod'!$M$10="English",Slovnik!D154,Slovnik!C154)</f>
        <v>Hradlář – hláskař s prodejem jízdenek</v>
      </c>
      <c r="D119" s="445"/>
      <c r="E119" s="453">
        <f>IFERROR(D102*IF('0 Úvod'!$D$18&gt;HLOOKUP('0 Úvod'!$D$18,'0 Úvod'!$K$40:$N$42,1,TRUE),'0 Úvod'!$N$42*(1+0.0163)^('0 Úvod'!$D$18-'0 Úvod'!$N$40),HLOOKUP('0 Úvod'!$D$18,'0 Úvod'!$K$40:$N$42,3,TRUE))*IF($E$105&gt;HLOOKUP($E$105,'0 Úvod'!$K$65:$N$67,1,TRUE),'0 Úvod'!$N$67*(1+0.0229)^($E$105-'0 Úvod'!$N$65),HLOOKUP($E$105,'0 Úvod'!$K$65:$N$67,3,TRUE)),0)</f>
        <v>428907.84545146086</v>
      </c>
      <c r="F119" s="454">
        <f t="shared" si="43"/>
        <v>438729.8351122993</v>
      </c>
      <c r="G119" s="454">
        <f t="shared" ref="G119:S119" si="54">F119*(1+G$107)</f>
        <v>448776.74833637092</v>
      </c>
      <c r="H119" s="454">
        <f t="shared" si="54"/>
        <v>459053.73587327375</v>
      </c>
      <c r="I119" s="454">
        <f t="shared" si="54"/>
        <v>469566.06642477168</v>
      </c>
      <c r="J119" s="454">
        <f t="shared" si="54"/>
        <v>480319.12934589892</v>
      </c>
      <c r="K119" s="454">
        <f t="shared" si="54"/>
        <v>491318.43740791996</v>
      </c>
      <c r="L119" s="454">
        <f t="shared" si="54"/>
        <v>502569.62962456129</v>
      </c>
      <c r="M119" s="454">
        <f t="shared" si="54"/>
        <v>514078.47414296371</v>
      </c>
      <c r="N119" s="454">
        <f t="shared" si="54"/>
        <v>525850.87120083754</v>
      </c>
      <c r="O119" s="454">
        <f t="shared" si="54"/>
        <v>537892.85615133669</v>
      </c>
      <c r="P119" s="454">
        <f t="shared" si="54"/>
        <v>550210.60255720222</v>
      </c>
      <c r="Q119" s="454">
        <f t="shared" si="54"/>
        <v>562810.42535576213</v>
      </c>
      <c r="R119" s="454">
        <f t="shared" si="54"/>
        <v>575698.78409640898</v>
      </c>
      <c r="S119" s="455">
        <f t="shared" si="54"/>
        <v>588882.28625221667</v>
      </c>
      <c r="T119" s="476"/>
      <c r="U119" s="476"/>
      <c r="V119" s="476"/>
      <c r="W119" s="476"/>
      <c r="X119" s="476"/>
      <c r="Y119" s="476"/>
      <c r="Z119" s="476"/>
      <c r="AA119" s="476"/>
      <c r="AB119" s="476"/>
      <c r="AC119" s="476"/>
    </row>
    <row r="120" spans="2:29" ht="15" thickBot="1" x14ac:dyDescent="0.35">
      <c r="B120" s="440"/>
      <c r="C120" s="443" t="str">
        <f>IF('0 Úvod'!$M$10="English",Slovnik!D155,Slovnik!C155)</f>
        <v>Dělník v dopravě – staniční dělník</v>
      </c>
      <c r="D120" s="446"/>
      <c r="E120" s="456">
        <f>IFERROR(D103*IF('0 Úvod'!$D$18&gt;HLOOKUP('0 Úvod'!$D$18,'0 Úvod'!$K$40:$N$42,1,TRUE),'0 Úvod'!$N$42*(1+0.0163)^('0 Úvod'!$D$18-'0 Úvod'!$N$40),HLOOKUP('0 Úvod'!$D$18,'0 Úvod'!$K$40:$N$42,3,TRUE))*IF($E$105&gt;HLOOKUP($E$105,'0 Úvod'!$K$65:$N$67,1,TRUE),'0 Úvod'!$N$67*(1+0.0229)^($E$105-'0 Úvod'!$N$65),HLOOKUP($E$105,'0 Úvod'!$K$65:$N$67,3,TRUE)),0)</f>
        <v>280366.768369945</v>
      </c>
      <c r="F120" s="457">
        <f t="shared" si="43"/>
        <v>286787.16736561671</v>
      </c>
      <c r="G120" s="457">
        <f t="shared" ref="G120:S120" si="55">F120*(1+G$107)</f>
        <v>293354.59349828929</v>
      </c>
      <c r="H120" s="457">
        <f t="shared" si="55"/>
        <v>300072.41368940007</v>
      </c>
      <c r="I120" s="457">
        <f t="shared" si="55"/>
        <v>306944.0719628873</v>
      </c>
      <c r="J120" s="457">
        <f t="shared" si="55"/>
        <v>313973.09121083742</v>
      </c>
      <c r="K120" s="457">
        <f t="shared" si="55"/>
        <v>321163.07499956555</v>
      </c>
      <c r="L120" s="457">
        <f t="shared" si="55"/>
        <v>328517.70941705559</v>
      </c>
      <c r="M120" s="457">
        <f t="shared" si="55"/>
        <v>336040.76496270613</v>
      </c>
      <c r="N120" s="457">
        <f t="shared" si="55"/>
        <v>343736.09848035208</v>
      </c>
      <c r="O120" s="457">
        <f t="shared" si="55"/>
        <v>351607.65513555211</v>
      </c>
      <c r="P120" s="457">
        <f t="shared" si="55"/>
        <v>359659.47043815622</v>
      </c>
      <c r="Q120" s="457">
        <f t="shared" si="55"/>
        <v>367895.67231118999</v>
      </c>
      <c r="R120" s="457">
        <f t="shared" si="55"/>
        <v>376320.48320711619</v>
      </c>
      <c r="S120" s="458">
        <f t="shared" si="55"/>
        <v>384938.22227255913</v>
      </c>
      <c r="T120" s="476"/>
      <c r="U120" s="476"/>
      <c r="V120" s="476"/>
      <c r="W120" s="476"/>
      <c r="X120" s="476"/>
      <c r="Y120" s="476"/>
      <c r="Z120" s="476"/>
      <c r="AA120" s="476"/>
      <c r="AB120" s="476"/>
      <c r="AC120" s="476"/>
    </row>
    <row r="121" spans="2:29" ht="15" thickBot="1" x14ac:dyDescent="0.35">
      <c r="B121" s="336"/>
      <c r="C121" s="318"/>
      <c r="D121" s="332"/>
      <c r="E121" s="307"/>
      <c r="F121" s="307"/>
      <c r="G121" s="307"/>
      <c r="H121" s="307"/>
      <c r="I121" s="307"/>
      <c r="J121" s="307"/>
      <c r="K121" s="307"/>
      <c r="L121" s="307"/>
      <c r="M121" s="307"/>
      <c r="N121" s="307"/>
      <c r="O121" s="307"/>
      <c r="P121" s="307"/>
      <c r="Q121" s="307"/>
      <c r="R121" s="307"/>
      <c r="S121" s="307"/>
      <c r="T121" s="476"/>
      <c r="U121" s="476"/>
      <c r="V121" s="476"/>
      <c r="W121" s="476"/>
      <c r="X121" s="476"/>
      <c r="Y121" s="476"/>
      <c r="Z121" s="476"/>
      <c r="AA121" s="476"/>
      <c r="AB121" s="476"/>
      <c r="AC121" s="476"/>
    </row>
    <row r="122" spans="2:29" ht="14.25" x14ac:dyDescent="0.3">
      <c r="B122" s="403" t="str">
        <f>B105</f>
        <v>3.5.</v>
      </c>
      <c r="C122" s="409" t="str">
        <f>C105</f>
        <v>Růst nákladů na řízení provozu</v>
      </c>
      <c r="D122" s="410"/>
      <c r="E122" s="2304">
        <f t="shared" ref="E122:S122" si="56">E69</f>
        <v>2036</v>
      </c>
      <c r="F122" s="2298">
        <f t="shared" si="56"/>
        <v>2037</v>
      </c>
      <c r="G122" s="2298">
        <f t="shared" si="56"/>
        <v>2038</v>
      </c>
      <c r="H122" s="2298">
        <f t="shared" si="56"/>
        <v>2039</v>
      </c>
      <c r="I122" s="2298">
        <f t="shared" si="56"/>
        <v>2040</v>
      </c>
      <c r="J122" s="2298">
        <f t="shared" si="56"/>
        <v>2041</v>
      </c>
      <c r="K122" s="2298">
        <f t="shared" si="56"/>
        <v>2042</v>
      </c>
      <c r="L122" s="2298">
        <f t="shared" si="56"/>
        <v>2043</v>
      </c>
      <c r="M122" s="2298">
        <f t="shared" si="56"/>
        <v>2044</v>
      </c>
      <c r="N122" s="2298">
        <f t="shared" si="56"/>
        <v>2045</v>
      </c>
      <c r="O122" s="2298">
        <f t="shared" si="56"/>
        <v>2046</v>
      </c>
      <c r="P122" s="2298">
        <f t="shared" si="56"/>
        <v>2047</v>
      </c>
      <c r="Q122" s="2298">
        <f t="shared" si="56"/>
        <v>2048</v>
      </c>
      <c r="R122" s="2298">
        <f t="shared" si="56"/>
        <v>2049</v>
      </c>
      <c r="S122" s="2309">
        <f t="shared" si="56"/>
        <v>2050</v>
      </c>
      <c r="T122" s="476"/>
      <c r="U122" s="476"/>
      <c r="V122" s="476"/>
      <c r="W122" s="476"/>
      <c r="X122" s="476"/>
      <c r="Y122" s="476"/>
      <c r="Z122" s="476"/>
      <c r="AA122" s="476"/>
      <c r="AB122" s="476"/>
      <c r="AC122" s="476"/>
    </row>
    <row r="123" spans="2:29" ht="15" thickBot="1" x14ac:dyDescent="0.35">
      <c r="B123" s="406" t="s">
        <v>24</v>
      </c>
      <c r="C123" s="407"/>
      <c r="D123" s="408" t="str">
        <f>D106</f>
        <v>Elasticita</v>
      </c>
      <c r="E123" s="2305"/>
      <c r="F123" s="2299"/>
      <c r="G123" s="2299"/>
      <c r="H123" s="2299"/>
      <c r="I123" s="2299"/>
      <c r="J123" s="2299"/>
      <c r="K123" s="2299"/>
      <c r="L123" s="2299"/>
      <c r="M123" s="2299"/>
      <c r="N123" s="2299"/>
      <c r="O123" s="2299"/>
      <c r="P123" s="2299"/>
      <c r="Q123" s="2299"/>
      <c r="R123" s="2299"/>
      <c r="S123" s="2314"/>
      <c r="T123" s="476"/>
      <c r="U123" s="476"/>
      <c r="V123" s="476"/>
      <c r="W123" s="476"/>
      <c r="X123" s="476"/>
      <c r="Y123" s="476"/>
      <c r="Z123" s="476"/>
      <c r="AA123" s="476"/>
      <c r="AB123" s="476"/>
      <c r="AC123" s="476"/>
    </row>
    <row r="124" spans="2:29" ht="14.25" x14ac:dyDescent="0.3">
      <c r="B124" s="436"/>
      <c r="C124" s="437" t="str">
        <f>C107</f>
        <v>Růst reálné mzdy v dopravě</v>
      </c>
      <c r="D124" s="459">
        <f>D107</f>
        <v>1</v>
      </c>
      <c r="E124" s="460">
        <f>$D$107*IFERROR(HLOOKUP(E$122,'0 Úvod'!$D$65:$N$67,2,FALSE),0.0229)</f>
        <v>2.29E-2</v>
      </c>
      <c r="F124" s="448">
        <f>$D$107*IFERROR(HLOOKUP(F$122,'0 Úvod'!$D$65:$N$67,2,FALSE),0.0229)</f>
        <v>2.29E-2</v>
      </c>
      <c r="G124" s="448">
        <f>$D$107*IFERROR(HLOOKUP(G$122,'0 Úvod'!$D$65:$N$67,2,FALSE),0.0229)</f>
        <v>2.29E-2</v>
      </c>
      <c r="H124" s="448">
        <f>$D$107*IFERROR(HLOOKUP(H$122,'0 Úvod'!$D$65:$N$67,2,FALSE),0.0229)</f>
        <v>2.29E-2</v>
      </c>
      <c r="I124" s="448">
        <f>$D$107*IFERROR(HLOOKUP(I$122,'0 Úvod'!$D$65:$N$67,2,FALSE),0.0229)</f>
        <v>2.29E-2</v>
      </c>
      <c r="J124" s="448">
        <f>$D$107*IFERROR(HLOOKUP(J$122,'0 Úvod'!$D$65:$N$67,2,FALSE),0.0229)</f>
        <v>2.29E-2</v>
      </c>
      <c r="K124" s="448">
        <f>$D$107*IFERROR(HLOOKUP(K$122,'0 Úvod'!$D$65:$N$67,2,FALSE),0.0229)</f>
        <v>2.29E-2</v>
      </c>
      <c r="L124" s="448">
        <f>$D$107*IFERROR(HLOOKUP(L$122,'0 Úvod'!$D$65:$N$67,2,FALSE),0.0229)</f>
        <v>2.29E-2</v>
      </c>
      <c r="M124" s="448">
        <f>$D$107*IFERROR(HLOOKUP(M$122,'0 Úvod'!$D$65:$N$67,2,FALSE),0.0229)</f>
        <v>2.29E-2</v>
      </c>
      <c r="N124" s="448">
        <f>$D$107*IFERROR(HLOOKUP(N$122,'0 Úvod'!$D$65:$N$67,2,FALSE),0.0229)</f>
        <v>2.29E-2</v>
      </c>
      <c r="O124" s="448">
        <f>$D$107*IFERROR(HLOOKUP(O$122,'0 Úvod'!$D$65:$N$67,2,FALSE),0.0229)</f>
        <v>2.29E-2</v>
      </c>
      <c r="P124" s="448">
        <f>$D$107*IFERROR(HLOOKUP(P$122,'0 Úvod'!$D$65:$N$67,2,FALSE),0.0229)</f>
        <v>2.29E-2</v>
      </c>
      <c r="Q124" s="448">
        <f>$D$107*IFERROR(HLOOKUP(Q$122,'0 Úvod'!$D$65:$N$67,2,FALSE),0.0229)</f>
        <v>2.29E-2</v>
      </c>
      <c r="R124" s="448">
        <f>$D$107*IFERROR(HLOOKUP(R$122,'0 Úvod'!$D$65:$N$67,2,FALSE),0.0229)</f>
        <v>2.29E-2</v>
      </c>
      <c r="S124" s="449">
        <f>$D$107*IFERROR(HLOOKUP(S$122,'0 Úvod'!$D$65:$N$67,2,FALSE),0.0229)</f>
        <v>2.29E-2</v>
      </c>
      <c r="T124" s="476"/>
      <c r="U124" s="476"/>
      <c r="V124" s="476"/>
      <c r="W124" s="476"/>
      <c r="X124" s="476"/>
      <c r="Y124" s="476"/>
      <c r="Z124" s="476"/>
      <c r="AA124" s="476"/>
      <c r="AB124" s="476"/>
      <c r="AC124" s="476"/>
    </row>
    <row r="125" spans="2:29" ht="14.25" x14ac:dyDescent="0.3">
      <c r="B125" s="438"/>
      <c r="C125" s="441" t="str">
        <f t="shared" ref="C125:C137" si="57">C108</f>
        <v>Dozorčí provozu</v>
      </c>
      <c r="D125" s="444"/>
      <c r="E125" s="450">
        <f>S108*(1+E$124)</f>
        <v>1116495.9073112397</v>
      </c>
      <c r="F125" s="451">
        <f>E125*(1+F$124)</f>
        <v>1142063.6635886671</v>
      </c>
      <c r="G125" s="451">
        <f t="shared" ref="G125:S125" si="58">F125*(1+G$124)</f>
        <v>1168216.9214848476</v>
      </c>
      <c r="H125" s="451">
        <f t="shared" si="58"/>
        <v>1194969.0889868506</v>
      </c>
      <c r="I125" s="451">
        <f t="shared" si="58"/>
        <v>1222333.8811246494</v>
      </c>
      <c r="J125" s="451">
        <f t="shared" si="58"/>
        <v>1250325.3270024038</v>
      </c>
      <c r="K125" s="451">
        <f t="shared" si="58"/>
        <v>1278957.7769907587</v>
      </c>
      <c r="L125" s="451">
        <f t="shared" si="58"/>
        <v>1308245.9100838469</v>
      </c>
      <c r="M125" s="451">
        <f t="shared" si="58"/>
        <v>1338204.7414247668</v>
      </c>
      <c r="N125" s="451">
        <f t="shared" si="58"/>
        <v>1368849.6300033939</v>
      </c>
      <c r="O125" s="451">
        <f t="shared" si="58"/>
        <v>1400196.2865304714</v>
      </c>
      <c r="P125" s="451">
        <f t="shared" si="58"/>
        <v>1432260.7814920191</v>
      </c>
      <c r="Q125" s="451">
        <f t="shared" si="58"/>
        <v>1465059.5533881863</v>
      </c>
      <c r="R125" s="451">
        <f t="shared" si="58"/>
        <v>1498609.4171607755</v>
      </c>
      <c r="S125" s="452">
        <f t="shared" si="58"/>
        <v>1532927.5728137572</v>
      </c>
      <c r="T125" s="476"/>
      <c r="U125" s="476"/>
      <c r="V125" s="476"/>
      <c r="W125" s="476"/>
      <c r="X125" s="476"/>
      <c r="Y125" s="476"/>
      <c r="Z125" s="476"/>
      <c r="AA125" s="476"/>
      <c r="AB125" s="476"/>
      <c r="AC125" s="476"/>
    </row>
    <row r="126" spans="2:29" ht="14.25" x14ac:dyDescent="0.3">
      <c r="B126" s="439"/>
      <c r="C126" s="442" t="str">
        <f t="shared" si="57"/>
        <v>Výpravčí</v>
      </c>
      <c r="D126" s="445"/>
      <c r="E126" s="453">
        <f t="shared" ref="E126:E137" si="59">S109*(1+E$124)</f>
        <v>971504.26144318446</v>
      </c>
      <c r="F126" s="454">
        <f t="shared" ref="F126:F137" si="60">E126*(1+F$124)</f>
        <v>993751.70903023332</v>
      </c>
      <c r="G126" s="454">
        <f t="shared" ref="G126:S126" si="61">F126*(1+G$124)</f>
        <v>1016508.6231670256</v>
      </c>
      <c r="H126" s="454">
        <f t="shared" si="61"/>
        <v>1039786.6706375504</v>
      </c>
      <c r="I126" s="454">
        <f t="shared" si="61"/>
        <v>1063597.7853951503</v>
      </c>
      <c r="J126" s="454">
        <f t="shared" si="61"/>
        <v>1087954.1746806991</v>
      </c>
      <c r="K126" s="454">
        <f t="shared" si="61"/>
        <v>1112868.3252808871</v>
      </c>
      <c r="L126" s="454">
        <f t="shared" si="61"/>
        <v>1138353.0099298193</v>
      </c>
      <c r="M126" s="454">
        <f t="shared" si="61"/>
        <v>1164421.2938572119</v>
      </c>
      <c r="N126" s="454">
        <f t="shared" si="61"/>
        <v>1191086.541486542</v>
      </c>
      <c r="O126" s="454">
        <f t="shared" si="61"/>
        <v>1218362.4232865837</v>
      </c>
      <c r="P126" s="454">
        <f t="shared" si="61"/>
        <v>1246262.9227798465</v>
      </c>
      <c r="Q126" s="454">
        <f t="shared" si="61"/>
        <v>1274802.3437115049</v>
      </c>
      <c r="R126" s="454">
        <f t="shared" si="61"/>
        <v>1303995.3173824984</v>
      </c>
      <c r="S126" s="455">
        <f t="shared" si="61"/>
        <v>1333856.8101505574</v>
      </c>
      <c r="T126" s="476"/>
      <c r="U126" s="476"/>
      <c r="V126" s="476"/>
      <c r="W126" s="476"/>
      <c r="X126" s="476"/>
      <c r="Y126" s="476"/>
      <c r="Z126" s="476"/>
      <c r="AA126" s="476"/>
      <c r="AB126" s="476"/>
      <c r="AC126" s="476"/>
    </row>
    <row r="127" spans="2:29" ht="14.25" x14ac:dyDescent="0.3">
      <c r="B127" s="439"/>
      <c r="C127" s="442" t="str">
        <f t="shared" si="57"/>
        <v>Dozorčí provozu – vedoucí směny</v>
      </c>
      <c r="D127" s="445"/>
      <c r="E127" s="453">
        <f t="shared" si="59"/>
        <v>1114391.2353223625</v>
      </c>
      <c r="F127" s="454">
        <f t="shared" si="60"/>
        <v>1139910.7946112445</v>
      </c>
      <c r="G127" s="454">
        <f t="shared" ref="G127:S127" si="62">F127*(1+G$124)</f>
        <v>1166014.7518078419</v>
      </c>
      <c r="H127" s="454">
        <f t="shared" si="62"/>
        <v>1192716.4896242414</v>
      </c>
      <c r="I127" s="454">
        <f t="shared" si="62"/>
        <v>1220029.6972366364</v>
      </c>
      <c r="J127" s="454">
        <f t="shared" si="62"/>
        <v>1247968.3773033554</v>
      </c>
      <c r="K127" s="454">
        <f t="shared" si="62"/>
        <v>1276546.8531436021</v>
      </c>
      <c r="L127" s="454">
        <f t="shared" si="62"/>
        <v>1305779.7760805904</v>
      </c>
      <c r="M127" s="454">
        <f t="shared" si="62"/>
        <v>1335682.1329528359</v>
      </c>
      <c r="N127" s="454">
        <f t="shared" si="62"/>
        <v>1366269.2537974557</v>
      </c>
      <c r="O127" s="454">
        <f t="shared" si="62"/>
        <v>1397556.8197094174</v>
      </c>
      <c r="P127" s="454">
        <f t="shared" si="62"/>
        <v>1429560.870880763</v>
      </c>
      <c r="Q127" s="454">
        <f t="shared" si="62"/>
        <v>1462297.8148239325</v>
      </c>
      <c r="R127" s="454">
        <f t="shared" si="62"/>
        <v>1495784.4347834005</v>
      </c>
      <c r="S127" s="455">
        <f t="shared" si="62"/>
        <v>1530037.8983399402</v>
      </c>
      <c r="T127" s="476"/>
      <c r="U127" s="476"/>
      <c r="V127" s="476"/>
      <c r="W127" s="476"/>
      <c r="X127" s="476"/>
      <c r="Y127" s="476"/>
      <c r="Z127" s="476"/>
      <c r="AA127" s="476"/>
      <c r="AB127" s="476"/>
      <c r="AC127" s="476"/>
    </row>
    <row r="128" spans="2:29" ht="14.25" x14ac:dyDescent="0.3">
      <c r="B128" s="439"/>
      <c r="C128" s="442" t="str">
        <f t="shared" si="57"/>
        <v>Operátor železniční dopravy</v>
      </c>
      <c r="D128" s="445"/>
      <c r="E128" s="453">
        <f t="shared" si="59"/>
        <v>678745.26840626157</v>
      </c>
      <c r="F128" s="454">
        <f t="shared" si="60"/>
        <v>694288.53505276493</v>
      </c>
      <c r="G128" s="454">
        <f t="shared" ref="G128:S128" si="63">F128*(1+G$124)</f>
        <v>710187.7425054732</v>
      </c>
      <c r="H128" s="454">
        <f t="shared" si="63"/>
        <v>726451.0418088485</v>
      </c>
      <c r="I128" s="454">
        <f t="shared" si="63"/>
        <v>743086.7706662711</v>
      </c>
      <c r="J128" s="454">
        <f t="shared" si="63"/>
        <v>760103.45771452866</v>
      </c>
      <c r="K128" s="454">
        <f t="shared" si="63"/>
        <v>777509.82689619134</v>
      </c>
      <c r="L128" s="454">
        <f t="shared" si="63"/>
        <v>795314.80193211406</v>
      </c>
      <c r="M128" s="454">
        <f t="shared" si="63"/>
        <v>813527.51089635945</v>
      </c>
      <c r="N128" s="454">
        <f t="shared" si="63"/>
        <v>832157.29089588602</v>
      </c>
      <c r="O128" s="454">
        <f t="shared" si="63"/>
        <v>851213.69285740179</v>
      </c>
      <c r="P128" s="454">
        <f t="shared" si="63"/>
        <v>870706.48642383621</v>
      </c>
      <c r="Q128" s="454">
        <f t="shared" si="63"/>
        <v>890645.66496294201</v>
      </c>
      <c r="R128" s="454">
        <f t="shared" si="63"/>
        <v>911041.45069059334</v>
      </c>
      <c r="S128" s="455">
        <f t="shared" si="63"/>
        <v>931904.29991140787</v>
      </c>
      <c r="T128" s="476"/>
      <c r="U128" s="476"/>
      <c r="V128" s="476"/>
      <c r="W128" s="476"/>
      <c r="X128" s="476"/>
      <c r="Y128" s="476"/>
      <c r="Z128" s="476"/>
      <c r="AA128" s="476"/>
      <c r="AB128" s="476"/>
      <c r="AC128" s="476"/>
    </row>
    <row r="129" spans="2:29" ht="14.25" x14ac:dyDescent="0.3">
      <c r="B129" s="439"/>
      <c r="C129" s="442" t="str">
        <f t="shared" si="57"/>
        <v>Signalista</v>
      </c>
      <c r="D129" s="445"/>
      <c r="E129" s="453">
        <f t="shared" si="59"/>
        <v>740464.11401816411</v>
      </c>
      <c r="F129" s="454">
        <f t="shared" si="60"/>
        <v>757420.74222918006</v>
      </c>
      <c r="G129" s="454">
        <f t="shared" ref="G129:S129" si="64">F129*(1+G$124)</f>
        <v>774765.67722622817</v>
      </c>
      <c r="H129" s="454">
        <f t="shared" si="64"/>
        <v>792507.81123470876</v>
      </c>
      <c r="I129" s="454">
        <f t="shared" si="64"/>
        <v>810656.2401119835</v>
      </c>
      <c r="J129" s="454">
        <f t="shared" si="64"/>
        <v>829220.26801054785</v>
      </c>
      <c r="K129" s="454">
        <f t="shared" si="64"/>
        <v>848209.41214798938</v>
      </c>
      <c r="L129" s="454">
        <f t="shared" si="64"/>
        <v>867633.40768617822</v>
      </c>
      <c r="M129" s="454">
        <f t="shared" si="64"/>
        <v>887502.21272219159</v>
      </c>
      <c r="N129" s="454">
        <f t="shared" si="64"/>
        <v>907826.01339352969</v>
      </c>
      <c r="O129" s="454">
        <f t="shared" si="64"/>
        <v>928615.22910024144</v>
      </c>
      <c r="P129" s="454">
        <f t="shared" si="64"/>
        <v>949880.51784663694</v>
      </c>
      <c r="Q129" s="454">
        <f t="shared" si="64"/>
        <v>971632.78170532489</v>
      </c>
      <c r="R129" s="454">
        <f t="shared" si="64"/>
        <v>993883.17240637681</v>
      </c>
      <c r="S129" s="455">
        <f t="shared" si="64"/>
        <v>1016643.0970544828</v>
      </c>
      <c r="T129" s="476"/>
      <c r="U129" s="476"/>
      <c r="V129" s="476"/>
      <c r="W129" s="476"/>
      <c r="X129" s="476"/>
      <c r="Y129" s="476"/>
      <c r="Z129" s="476"/>
      <c r="AA129" s="476"/>
      <c r="AB129" s="476"/>
      <c r="AC129" s="476"/>
    </row>
    <row r="130" spans="2:29" ht="14.25" x14ac:dyDescent="0.3">
      <c r="B130" s="439"/>
      <c r="C130" s="442" t="str">
        <f t="shared" si="57"/>
        <v>Výhybkář</v>
      </c>
      <c r="D130" s="445"/>
      <c r="E130" s="453">
        <f t="shared" si="59"/>
        <v>581534.07976519293</v>
      </c>
      <c r="F130" s="454">
        <f t="shared" si="60"/>
        <v>594851.21019181586</v>
      </c>
      <c r="G130" s="454">
        <f t="shared" ref="G130:S130" si="65">F130*(1+G$124)</f>
        <v>608473.30290520843</v>
      </c>
      <c r="H130" s="454">
        <f t="shared" si="65"/>
        <v>622407.34154173767</v>
      </c>
      <c r="I130" s="454">
        <f t="shared" si="65"/>
        <v>636660.46966304339</v>
      </c>
      <c r="J130" s="454">
        <f t="shared" si="65"/>
        <v>651239.994418327</v>
      </c>
      <c r="K130" s="454">
        <f t="shared" si="65"/>
        <v>666153.39029050665</v>
      </c>
      <c r="L130" s="454">
        <f t="shared" si="65"/>
        <v>681408.30292815925</v>
      </c>
      <c r="M130" s="454">
        <f t="shared" si="65"/>
        <v>697012.55306521407</v>
      </c>
      <c r="N130" s="454">
        <f t="shared" si="65"/>
        <v>712974.14053040743</v>
      </c>
      <c r="O130" s="454">
        <f t="shared" si="65"/>
        <v>729301.24834855366</v>
      </c>
      <c r="P130" s="454">
        <f t="shared" si="65"/>
        <v>746002.24693573546</v>
      </c>
      <c r="Q130" s="454">
        <f t="shared" si="65"/>
        <v>763085.69839056372</v>
      </c>
      <c r="R130" s="454">
        <f t="shared" si="65"/>
        <v>780560.36088370753</v>
      </c>
      <c r="S130" s="455">
        <f t="shared" si="65"/>
        <v>798435.1931479444</v>
      </c>
      <c r="T130" s="476"/>
      <c r="U130" s="476"/>
      <c r="V130" s="476"/>
      <c r="W130" s="476"/>
      <c r="X130" s="476"/>
      <c r="Y130" s="476"/>
      <c r="Z130" s="476"/>
      <c r="AA130" s="476"/>
      <c r="AB130" s="476"/>
      <c r="AC130" s="476"/>
    </row>
    <row r="131" spans="2:29" ht="14.25" x14ac:dyDescent="0.3">
      <c r="B131" s="439"/>
      <c r="C131" s="442" t="str">
        <f t="shared" si="57"/>
        <v>Staniční dozorce</v>
      </c>
      <c r="D131" s="445"/>
      <c r="E131" s="453">
        <f t="shared" si="59"/>
        <v>667897.84181254217</v>
      </c>
      <c r="F131" s="454">
        <f t="shared" si="60"/>
        <v>683192.70239004935</v>
      </c>
      <c r="G131" s="454">
        <f t="shared" ref="G131:S131" si="66">F131*(1+G$124)</f>
        <v>698837.81527478143</v>
      </c>
      <c r="H131" s="454">
        <f t="shared" si="66"/>
        <v>714841.20124457392</v>
      </c>
      <c r="I131" s="454">
        <f t="shared" si="66"/>
        <v>731211.06475307466</v>
      </c>
      <c r="J131" s="454">
        <f t="shared" si="66"/>
        <v>747955.79813591996</v>
      </c>
      <c r="K131" s="454">
        <f t="shared" si="66"/>
        <v>765083.98591323243</v>
      </c>
      <c r="L131" s="454">
        <f t="shared" si="66"/>
        <v>782604.40919064544</v>
      </c>
      <c r="M131" s="454">
        <f t="shared" si="66"/>
        <v>800526.05016111117</v>
      </c>
      <c r="N131" s="454">
        <f t="shared" si="66"/>
        <v>818858.09670980053</v>
      </c>
      <c r="O131" s="454">
        <f t="shared" si="66"/>
        <v>837609.94712445489</v>
      </c>
      <c r="P131" s="454">
        <f t="shared" si="66"/>
        <v>856791.2149136049</v>
      </c>
      <c r="Q131" s="454">
        <f t="shared" si="66"/>
        <v>876411.73373512633</v>
      </c>
      <c r="R131" s="454">
        <f t="shared" si="66"/>
        <v>896481.56243766064</v>
      </c>
      <c r="S131" s="455">
        <f t="shared" si="66"/>
        <v>917010.99021748302</v>
      </c>
      <c r="T131" s="476"/>
      <c r="U131" s="476"/>
      <c r="V131" s="476"/>
      <c r="W131" s="476"/>
      <c r="X131" s="476"/>
      <c r="Y131" s="476"/>
      <c r="Z131" s="476"/>
      <c r="AA131" s="476"/>
      <c r="AB131" s="476"/>
      <c r="AC131" s="476"/>
    </row>
    <row r="132" spans="2:29" ht="14.25" x14ac:dyDescent="0.3">
      <c r="B132" s="439"/>
      <c r="C132" s="442" t="str">
        <f t="shared" si="57"/>
        <v>Dozorce výhybek</v>
      </c>
      <c r="D132" s="445"/>
      <c r="E132" s="453">
        <f t="shared" si="59"/>
        <v>639767.44766497181</v>
      </c>
      <c r="F132" s="454">
        <f t="shared" si="60"/>
        <v>654418.12221649964</v>
      </c>
      <c r="G132" s="454">
        <f t="shared" ref="G132:S132" si="67">F132*(1+G$124)</f>
        <v>669404.29721525742</v>
      </c>
      <c r="H132" s="454">
        <f t="shared" si="67"/>
        <v>684733.65562148672</v>
      </c>
      <c r="I132" s="454">
        <f t="shared" si="67"/>
        <v>700414.05633521872</v>
      </c>
      <c r="J132" s="454">
        <f t="shared" si="67"/>
        <v>716453.53822529514</v>
      </c>
      <c r="K132" s="454">
        <f t="shared" si="67"/>
        <v>732860.32425065432</v>
      </c>
      <c r="L132" s="454">
        <f t="shared" si="67"/>
        <v>749642.82567599427</v>
      </c>
      <c r="M132" s="454">
        <f t="shared" si="67"/>
        <v>766809.64638397447</v>
      </c>
      <c r="N132" s="454">
        <f t="shared" si="67"/>
        <v>784369.58728616743</v>
      </c>
      <c r="O132" s="454">
        <f t="shared" si="67"/>
        <v>802331.65083502058</v>
      </c>
      <c r="P132" s="454">
        <f t="shared" si="67"/>
        <v>820705.04563914251</v>
      </c>
      <c r="Q132" s="454">
        <f t="shared" si="67"/>
        <v>839499.19118427881</v>
      </c>
      <c r="R132" s="454">
        <f t="shared" si="67"/>
        <v>858723.72266239871</v>
      </c>
      <c r="S132" s="455">
        <f t="shared" si="67"/>
        <v>878388.49591136759</v>
      </c>
      <c r="T132" s="476"/>
      <c r="U132" s="476"/>
      <c r="V132" s="476"/>
      <c r="W132" s="476"/>
      <c r="X132" s="476"/>
      <c r="Y132" s="476"/>
      <c r="Z132" s="476"/>
      <c r="AA132" s="476"/>
      <c r="AB132" s="476"/>
      <c r="AC132" s="476"/>
    </row>
    <row r="133" spans="2:29" ht="14.25" x14ac:dyDescent="0.3">
      <c r="B133" s="439"/>
      <c r="C133" s="442" t="str">
        <f t="shared" si="57"/>
        <v>Závorář</v>
      </c>
      <c r="D133" s="445"/>
      <c r="E133" s="453">
        <f t="shared" si="59"/>
        <v>562923.14344179106</v>
      </c>
      <c r="F133" s="454">
        <f t="shared" si="60"/>
        <v>575814.08342660801</v>
      </c>
      <c r="G133" s="454">
        <f t="shared" ref="G133:S133" si="68">F133*(1+G$124)</f>
        <v>589000.22593707731</v>
      </c>
      <c r="H133" s="454">
        <f t="shared" si="68"/>
        <v>602488.33111103636</v>
      </c>
      <c r="I133" s="454">
        <f t="shared" si="68"/>
        <v>616285.31389347906</v>
      </c>
      <c r="J133" s="454">
        <f t="shared" si="68"/>
        <v>630398.24758163968</v>
      </c>
      <c r="K133" s="454">
        <f t="shared" si="68"/>
        <v>644834.36745125917</v>
      </c>
      <c r="L133" s="454">
        <f t="shared" si="68"/>
        <v>659601.07446589298</v>
      </c>
      <c r="M133" s="454">
        <f t="shared" si="68"/>
        <v>674705.93907116191</v>
      </c>
      <c r="N133" s="454">
        <f t="shared" si="68"/>
        <v>690156.70507589146</v>
      </c>
      <c r="O133" s="454">
        <f t="shared" si="68"/>
        <v>705961.29362212936</v>
      </c>
      <c r="P133" s="454">
        <f t="shared" si="68"/>
        <v>722127.80724607606</v>
      </c>
      <c r="Q133" s="454">
        <f t="shared" si="68"/>
        <v>738664.53403201117</v>
      </c>
      <c r="R133" s="454">
        <f t="shared" si="68"/>
        <v>755579.95186134416</v>
      </c>
      <c r="S133" s="455">
        <f t="shared" si="68"/>
        <v>772882.73275896884</v>
      </c>
      <c r="T133" s="476"/>
      <c r="U133" s="476"/>
      <c r="V133" s="476"/>
      <c r="W133" s="476"/>
      <c r="X133" s="476"/>
      <c r="Y133" s="476"/>
      <c r="Z133" s="476"/>
      <c r="AA133" s="476"/>
      <c r="AB133" s="476"/>
      <c r="AC133" s="476"/>
    </row>
    <row r="134" spans="2:29" ht="14.25" x14ac:dyDescent="0.3">
      <c r="B134" s="439"/>
      <c r="C134" s="442" t="str">
        <f t="shared" si="57"/>
        <v>Závorář s prodejem jízdenek</v>
      </c>
      <c r="D134" s="445"/>
      <c r="E134" s="453">
        <f t="shared" si="59"/>
        <v>573782.89865803951</v>
      </c>
      <c r="F134" s="454">
        <f t="shared" si="60"/>
        <v>586922.52703730855</v>
      </c>
      <c r="G134" s="454">
        <f t="shared" ref="G134:S134" si="69">F134*(1+G$124)</f>
        <v>600363.05290646292</v>
      </c>
      <c r="H134" s="454">
        <f t="shared" si="69"/>
        <v>614111.36681802082</v>
      </c>
      <c r="I134" s="454">
        <f t="shared" si="69"/>
        <v>628174.5171181534</v>
      </c>
      <c r="J134" s="454">
        <f t="shared" si="69"/>
        <v>642559.71356015909</v>
      </c>
      <c r="K134" s="454">
        <f t="shared" si="69"/>
        <v>657274.33100068662</v>
      </c>
      <c r="L134" s="454">
        <f t="shared" si="69"/>
        <v>672325.91318060225</v>
      </c>
      <c r="M134" s="454">
        <f t="shared" si="69"/>
        <v>687722.17659243802</v>
      </c>
      <c r="N134" s="454">
        <f t="shared" si="69"/>
        <v>703471.0144364048</v>
      </c>
      <c r="O134" s="454">
        <f t="shared" si="69"/>
        <v>719580.50066699844</v>
      </c>
      <c r="P134" s="454">
        <f t="shared" si="69"/>
        <v>736058.89413227269</v>
      </c>
      <c r="Q134" s="454">
        <f t="shared" si="69"/>
        <v>752914.64280790172</v>
      </c>
      <c r="R134" s="454">
        <f t="shared" si="69"/>
        <v>770156.38812820264</v>
      </c>
      <c r="S134" s="455">
        <f t="shared" si="69"/>
        <v>787792.96941633837</v>
      </c>
      <c r="T134" s="476"/>
      <c r="U134" s="476"/>
      <c r="V134" s="476"/>
      <c r="W134" s="476"/>
      <c r="X134" s="476"/>
      <c r="Y134" s="476"/>
      <c r="Z134" s="476"/>
      <c r="AA134" s="476"/>
      <c r="AB134" s="476"/>
      <c r="AC134" s="476"/>
    </row>
    <row r="135" spans="2:29" ht="14.25" x14ac:dyDescent="0.3">
      <c r="B135" s="439"/>
      <c r="C135" s="442" t="str">
        <f t="shared" si="57"/>
        <v>Hradlář – hláskař</v>
      </c>
      <c r="D135" s="445"/>
      <c r="E135" s="453">
        <f t="shared" si="59"/>
        <v>613273.23785017699</v>
      </c>
      <c r="F135" s="454">
        <f t="shared" si="60"/>
        <v>627317.19499694603</v>
      </c>
      <c r="G135" s="454">
        <f t="shared" ref="G135:S135" si="70">F135*(1+G$124)</f>
        <v>641682.75876237603</v>
      </c>
      <c r="H135" s="454">
        <f t="shared" si="70"/>
        <v>656377.29393803445</v>
      </c>
      <c r="I135" s="454">
        <f t="shared" si="70"/>
        <v>671408.3339692154</v>
      </c>
      <c r="J135" s="454">
        <f t="shared" si="70"/>
        <v>686783.58481711033</v>
      </c>
      <c r="K135" s="454">
        <f t="shared" si="70"/>
        <v>702510.92890942213</v>
      </c>
      <c r="L135" s="454">
        <f t="shared" si="70"/>
        <v>718598.42918144783</v>
      </c>
      <c r="M135" s="454">
        <f t="shared" si="70"/>
        <v>735054.33320970298</v>
      </c>
      <c r="N135" s="454">
        <f t="shared" si="70"/>
        <v>751887.07744020515</v>
      </c>
      <c r="O135" s="454">
        <f t="shared" si="70"/>
        <v>769105.29151358583</v>
      </c>
      <c r="P135" s="454">
        <f t="shared" si="70"/>
        <v>786717.80268924683</v>
      </c>
      <c r="Q135" s="454">
        <f t="shared" si="70"/>
        <v>804733.64037083054</v>
      </c>
      <c r="R135" s="454">
        <f t="shared" si="70"/>
        <v>823162.04073532252</v>
      </c>
      <c r="S135" s="455">
        <f t="shared" si="70"/>
        <v>842012.45146816131</v>
      </c>
      <c r="T135" s="476"/>
      <c r="U135" s="476"/>
      <c r="V135" s="476"/>
      <c r="W135" s="476"/>
      <c r="X135" s="476"/>
      <c r="Y135" s="476"/>
      <c r="Z135" s="476"/>
      <c r="AA135" s="476"/>
      <c r="AB135" s="476"/>
      <c r="AC135" s="476"/>
    </row>
    <row r="136" spans="2:29" ht="14.25" x14ac:dyDescent="0.3">
      <c r="B136" s="439"/>
      <c r="C136" s="442" t="str">
        <f t="shared" si="57"/>
        <v>Hradlář – hláskař s prodejem jízdenek</v>
      </c>
      <c r="D136" s="445"/>
      <c r="E136" s="453">
        <f t="shared" si="59"/>
        <v>602367.69060739235</v>
      </c>
      <c r="F136" s="454">
        <f t="shared" si="60"/>
        <v>616161.91072230157</v>
      </c>
      <c r="G136" s="454">
        <f t="shared" ref="G136:S136" si="71">F136*(1+G$124)</f>
        <v>630272.01847784221</v>
      </c>
      <c r="H136" s="454">
        <f t="shared" si="71"/>
        <v>644705.24770098471</v>
      </c>
      <c r="I136" s="454">
        <f t="shared" si="71"/>
        <v>659468.99787333724</v>
      </c>
      <c r="J136" s="454">
        <f t="shared" si="71"/>
        <v>674570.83792463667</v>
      </c>
      <c r="K136" s="454">
        <f t="shared" si="71"/>
        <v>690018.51011311077</v>
      </c>
      <c r="L136" s="454">
        <f t="shared" si="71"/>
        <v>705819.9339947009</v>
      </c>
      <c r="M136" s="454">
        <f t="shared" si="71"/>
        <v>721983.21048317954</v>
      </c>
      <c r="N136" s="454">
        <f t="shared" si="71"/>
        <v>738516.62600324431</v>
      </c>
      <c r="O136" s="454">
        <f t="shared" si="71"/>
        <v>755428.65673871851</v>
      </c>
      <c r="P136" s="454">
        <f t="shared" si="71"/>
        <v>772727.9729780351</v>
      </c>
      <c r="Q136" s="454">
        <f t="shared" si="71"/>
        <v>790423.44355923205</v>
      </c>
      <c r="R136" s="454">
        <f t="shared" si="71"/>
        <v>808524.14041673834</v>
      </c>
      <c r="S136" s="455">
        <f t="shared" si="71"/>
        <v>827039.34323228162</v>
      </c>
      <c r="T136" s="476"/>
      <c r="U136" s="476"/>
      <c r="V136" s="476"/>
      <c r="W136" s="476"/>
      <c r="X136" s="476"/>
      <c r="Y136" s="476"/>
      <c r="Z136" s="476"/>
      <c r="AA136" s="476"/>
      <c r="AB136" s="476"/>
      <c r="AC136" s="476"/>
    </row>
    <row r="137" spans="2:29" ht="15" thickBot="1" x14ac:dyDescent="0.35">
      <c r="B137" s="440"/>
      <c r="C137" s="443" t="str">
        <f t="shared" si="57"/>
        <v>Dělník v dopravě – staniční dělník</v>
      </c>
      <c r="D137" s="446"/>
      <c r="E137" s="456">
        <f t="shared" si="59"/>
        <v>393753.3075626007</v>
      </c>
      <c r="F137" s="457">
        <f t="shared" si="60"/>
        <v>402770.25830578426</v>
      </c>
      <c r="G137" s="457">
        <f t="shared" ref="G137:S137" si="72">F137*(1+G$124)</f>
        <v>411993.69722098671</v>
      </c>
      <c r="H137" s="457">
        <f t="shared" si="72"/>
        <v>421428.35288734728</v>
      </c>
      <c r="I137" s="457">
        <f t="shared" si="72"/>
        <v>431079.0621684675</v>
      </c>
      <c r="J137" s="457">
        <f t="shared" si="72"/>
        <v>440950.77269212535</v>
      </c>
      <c r="K137" s="457">
        <f t="shared" si="72"/>
        <v>451048.54538677499</v>
      </c>
      <c r="L137" s="457">
        <f t="shared" si="72"/>
        <v>461377.5570761321</v>
      </c>
      <c r="M137" s="457">
        <f t="shared" si="72"/>
        <v>471943.10313317546</v>
      </c>
      <c r="N137" s="457">
        <f t="shared" si="72"/>
        <v>482750.60019492515</v>
      </c>
      <c r="O137" s="457">
        <f t="shared" si="72"/>
        <v>493805.58893938892</v>
      </c>
      <c r="P137" s="457">
        <f t="shared" si="72"/>
        <v>505113.73692610092</v>
      </c>
      <c r="Q137" s="457">
        <f t="shared" si="72"/>
        <v>516680.84150170861</v>
      </c>
      <c r="R137" s="457">
        <f t="shared" si="72"/>
        <v>528512.83277209767</v>
      </c>
      <c r="S137" s="458">
        <f t="shared" si="72"/>
        <v>540615.77664257865</v>
      </c>
      <c r="T137" s="476"/>
      <c r="U137" s="476"/>
      <c r="V137" s="476"/>
      <c r="W137" s="476"/>
      <c r="X137" s="476"/>
      <c r="Y137" s="476"/>
      <c r="Z137" s="476"/>
      <c r="AA137" s="476"/>
      <c r="AB137" s="476"/>
      <c r="AC137" s="476"/>
    </row>
    <row r="138" spans="2:29" ht="14.25" x14ac:dyDescent="0.3">
      <c r="B138" s="334"/>
      <c r="C138" s="305"/>
      <c r="D138" s="305"/>
      <c r="E138" s="330"/>
      <c r="F138" s="330"/>
      <c r="G138" s="337"/>
      <c r="H138" s="337"/>
      <c r="I138" s="337"/>
      <c r="J138" s="337"/>
      <c r="K138" s="305"/>
      <c r="L138" s="305"/>
      <c r="M138" s="305"/>
      <c r="N138" s="305"/>
      <c r="O138" s="305"/>
      <c r="P138" s="305"/>
      <c r="Q138" s="305"/>
      <c r="R138" s="305"/>
      <c r="S138" s="305"/>
      <c r="T138" s="476"/>
      <c r="U138" s="476"/>
      <c r="V138" s="476"/>
      <c r="W138" s="476"/>
      <c r="X138" s="476"/>
      <c r="Y138" s="476"/>
      <c r="Z138" s="476"/>
      <c r="AA138" s="476"/>
      <c r="AB138" s="476"/>
      <c r="AC138" s="476"/>
    </row>
    <row r="139" spans="2:29" ht="15" thickBot="1" x14ac:dyDescent="0.35">
      <c r="B139" s="334"/>
      <c r="C139" s="305"/>
      <c r="D139" s="305"/>
      <c r="E139" s="305"/>
      <c r="F139" s="305"/>
      <c r="G139" s="305"/>
      <c r="H139" s="305"/>
      <c r="I139" s="305"/>
      <c r="J139" s="305"/>
      <c r="K139" s="305"/>
      <c r="L139" s="305"/>
      <c r="M139" s="305"/>
      <c r="N139" s="305"/>
      <c r="O139" s="305"/>
      <c r="P139" s="305"/>
      <c r="Q139" s="305"/>
      <c r="R139" s="305"/>
      <c r="S139" s="305"/>
      <c r="T139" s="476"/>
      <c r="U139" s="476"/>
      <c r="V139" s="476"/>
      <c r="W139" s="476"/>
      <c r="X139" s="476"/>
      <c r="Y139" s="476"/>
      <c r="Z139" s="476"/>
      <c r="AA139" s="476"/>
      <c r="AB139" s="476"/>
      <c r="AC139" s="476"/>
    </row>
    <row r="140" spans="2:29" ht="14.25" x14ac:dyDescent="0.3">
      <c r="B140" s="403" t="s">
        <v>107</v>
      </c>
      <c r="C140" s="411" t="str">
        <f>IF('0 Úvod'!$M$10="English",Slovnik!$D$161,Slovnik!$C$161)</f>
        <v>Počty zaměstnanců</v>
      </c>
      <c r="D140" s="405"/>
      <c r="E140" s="2304">
        <f t="shared" ref="E140:S140" si="73">E105</f>
        <v>2021</v>
      </c>
      <c r="F140" s="2298">
        <f t="shared" si="73"/>
        <v>2022</v>
      </c>
      <c r="G140" s="2298">
        <f t="shared" si="73"/>
        <v>2023</v>
      </c>
      <c r="H140" s="2298">
        <f t="shared" si="73"/>
        <v>2024</v>
      </c>
      <c r="I140" s="2298">
        <f t="shared" si="73"/>
        <v>2025</v>
      </c>
      <c r="J140" s="2298">
        <f t="shared" si="73"/>
        <v>2026</v>
      </c>
      <c r="K140" s="2298">
        <f t="shared" si="73"/>
        <v>2027</v>
      </c>
      <c r="L140" s="2298">
        <f t="shared" si="73"/>
        <v>2028</v>
      </c>
      <c r="M140" s="2298">
        <f t="shared" si="73"/>
        <v>2029</v>
      </c>
      <c r="N140" s="2298">
        <f t="shared" si="73"/>
        <v>2030</v>
      </c>
      <c r="O140" s="2298">
        <f t="shared" si="73"/>
        <v>2031</v>
      </c>
      <c r="P140" s="2298">
        <f t="shared" si="73"/>
        <v>2032</v>
      </c>
      <c r="Q140" s="2298">
        <f t="shared" si="73"/>
        <v>2033</v>
      </c>
      <c r="R140" s="2298">
        <f t="shared" si="73"/>
        <v>2034</v>
      </c>
      <c r="S140" s="2309">
        <f t="shared" si="73"/>
        <v>2035</v>
      </c>
    </row>
    <row r="141" spans="2:29" ht="15" thickBot="1" x14ac:dyDescent="0.35">
      <c r="B141" s="406" t="s">
        <v>23</v>
      </c>
      <c r="C141" s="407" t="str">
        <f>IF('0 Úvod'!$M$10="English",Slovnik!$D$124,Slovnik!$C$124)</f>
        <v>Scénář s projektem</v>
      </c>
      <c r="D141" s="412"/>
      <c r="E141" s="2311"/>
      <c r="F141" s="2306"/>
      <c r="G141" s="2306"/>
      <c r="H141" s="2306"/>
      <c r="I141" s="2306"/>
      <c r="J141" s="2306"/>
      <c r="K141" s="2306"/>
      <c r="L141" s="2306"/>
      <c r="M141" s="2306"/>
      <c r="N141" s="2306"/>
      <c r="O141" s="2306"/>
      <c r="P141" s="2306"/>
      <c r="Q141" s="2306"/>
      <c r="R141" s="2306"/>
      <c r="S141" s="2310"/>
    </row>
    <row r="142" spans="2:29" ht="14.25" x14ac:dyDescent="0.3">
      <c r="B142" s="471"/>
      <c r="C142" s="462" t="str">
        <f t="shared" ref="C142:C154" si="74">C125</f>
        <v>Dozorčí provozu</v>
      </c>
      <c r="D142" s="463"/>
      <c r="E142" s="352"/>
      <c r="F142" s="352"/>
      <c r="G142" s="352"/>
      <c r="H142" s="352"/>
      <c r="I142" s="352"/>
      <c r="J142" s="352"/>
      <c r="K142" s="352"/>
      <c r="L142" s="352"/>
      <c r="M142" s="352"/>
      <c r="N142" s="352"/>
      <c r="O142" s="352"/>
      <c r="P142" s="352"/>
      <c r="Q142" s="352"/>
      <c r="R142" s="352"/>
      <c r="S142" s="352"/>
      <c r="T142" s="1938"/>
    </row>
    <row r="143" spans="2:29" ht="14.25" x14ac:dyDescent="0.3">
      <c r="B143" s="464"/>
      <c r="C143" s="465" t="str">
        <f t="shared" si="74"/>
        <v>Výpravčí</v>
      </c>
      <c r="D143" s="466"/>
      <c r="E143" s="2173">
        <v>6.7842943108115037</v>
      </c>
      <c r="F143" s="2174">
        <v>6.7842943108115037</v>
      </c>
      <c r="G143" s="2174">
        <v>6.7842943108115037</v>
      </c>
      <c r="H143" s="2174">
        <v>6.7842943108115037</v>
      </c>
      <c r="I143" s="2174">
        <v>6.7842943108115037</v>
      </c>
      <c r="J143" s="2174">
        <v>6.7842943108115037</v>
      </c>
      <c r="K143" s="2174">
        <v>6.7842943108115037</v>
      </c>
      <c r="L143" s="2174">
        <v>6.7842943108115037</v>
      </c>
      <c r="M143" s="2174">
        <v>6.7842943108115037</v>
      </c>
      <c r="N143" s="2174">
        <v>6.7842943108115037</v>
      </c>
      <c r="O143" s="2174">
        <v>6.7842943108115037</v>
      </c>
      <c r="P143" s="2174">
        <v>6.7842943108115037</v>
      </c>
      <c r="Q143" s="2174">
        <v>6.7842943108115037</v>
      </c>
      <c r="R143" s="2174">
        <v>6.7842943108115037</v>
      </c>
      <c r="S143" s="2175">
        <v>6.7842943108115037</v>
      </c>
      <c r="T143" s="1938"/>
    </row>
    <row r="144" spans="2:29" ht="14.25" x14ac:dyDescent="0.3">
      <c r="B144" s="464"/>
      <c r="C144" s="465" t="str">
        <f t="shared" si="74"/>
        <v>Dozorčí provozu – vedoucí směny</v>
      </c>
      <c r="D144" s="466"/>
      <c r="E144" s="352"/>
      <c r="F144" s="352"/>
      <c r="G144" s="352"/>
      <c r="H144" s="352"/>
      <c r="I144" s="352"/>
      <c r="J144" s="352"/>
      <c r="K144" s="352"/>
      <c r="L144" s="352"/>
      <c r="M144" s="352"/>
      <c r="N144" s="352"/>
      <c r="O144" s="352"/>
      <c r="P144" s="352"/>
      <c r="Q144" s="352"/>
      <c r="R144" s="352"/>
      <c r="S144" s="352"/>
      <c r="T144" s="1938"/>
    </row>
    <row r="145" spans="2:20" ht="14.25" x14ac:dyDescent="0.3">
      <c r="B145" s="464"/>
      <c r="C145" s="465" t="str">
        <f t="shared" si="74"/>
        <v>Operátor železniční dopravy</v>
      </c>
      <c r="D145" s="466"/>
      <c r="E145" s="352"/>
      <c r="F145" s="352"/>
      <c r="G145" s="352"/>
      <c r="H145" s="352"/>
      <c r="I145" s="352"/>
      <c r="J145" s="352"/>
      <c r="K145" s="352"/>
      <c r="L145" s="352"/>
      <c r="M145" s="352"/>
      <c r="N145" s="352"/>
      <c r="O145" s="352"/>
      <c r="P145" s="352"/>
      <c r="Q145" s="352"/>
      <c r="R145" s="352"/>
      <c r="S145" s="352"/>
      <c r="T145" s="1938"/>
    </row>
    <row r="146" spans="2:20" ht="14.25" x14ac:dyDescent="0.3">
      <c r="B146" s="464"/>
      <c r="C146" s="465" t="str">
        <f t="shared" si="74"/>
        <v>Signalista</v>
      </c>
      <c r="D146" s="466"/>
      <c r="E146" s="352"/>
      <c r="F146" s="352"/>
      <c r="G146" s="352"/>
      <c r="H146" s="352"/>
      <c r="I146" s="352"/>
      <c r="J146" s="352"/>
      <c r="K146" s="352"/>
      <c r="L146" s="352"/>
      <c r="M146" s="352"/>
      <c r="N146" s="352"/>
      <c r="O146" s="352"/>
      <c r="P146" s="352"/>
      <c r="Q146" s="352"/>
      <c r="R146" s="352"/>
      <c r="S146" s="352"/>
      <c r="T146" s="1938"/>
    </row>
    <row r="147" spans="2:20" ht="14.25" x14ac:dyDescent="0.3">
      <c r="B147" s="464"/>
      <c r="C147" s="465" t="str">
        <f t="shared" si="74"/>
        <v>Výhybkář</v>
      </c>
      <c r="D147" s="466"/>
      <c r="E147" s="352"/>
      <c r="F147" s="352"/>
      <c r="G147" s="352"/>
      <c r="H147" s="352"/>
      <c r="I147" s="352"/>
      <c r="J147" s="352"/>
      <c r="K147" s="352"/>
      <c r="L147" s="352"/>
      <c r="M147" s="352"/>
      <c r="N147" s="352"/>
      <c r="O147" s="352"/>
      <c r="P147" s="352"/>
      <c r="Q147" s="352"/>
      <c r="R147" s="352"/>
      <c r="S147" s="352"/>
      <c r="T147" s="1938"/>
    </row>
    <row r="148" spans="2:20" ht="14.25" x14ac:dyDescent="0.3">
      <c r="B148" s="464"/>
      <c r="C148" s="465" t="str">
        <f t="shared" si="74"/>
        <v>Staniční dozorce</v>
      </c>
      <c r="D148" s="466"/>
      <c r="E148" s="352"/>
      <c r="F148" s="352"/>
      <c r="G148" s="352"/>
      <c r="H148" s="352"/>
      <c r="I148" s="352"/>
      <c r="J148" s="352"/>
      <c r="K148" s="352"/>
      <c r="L148" s="352"/>
      <c r="M148" s="352"/>
      <c r="N148" s="352"/>
      <c r="O148" s="352"/>
      <c r="P148" s="352"/>
      <c r="Q148" s="352"/>
      <c r="R148" s="352"/>
      <c r="S148" s="352"/>
      <c r="T148" s="1938"/>
    </row>
    <row r="149" spans="2:20" ht="14.25" x14ac:dyDescent="0.3">
      <c r="B149" s="464"/>
      <c r="C149" s="465" t="str">
        <f t="shared" si="74"/>
        <v>Dozorce výhybek</v>
      </c>
      <c r="D149" s="466"/>
      <c r="E149" s="352"/>
      <c r="F149" s="352"/>
      <c r="G149" s="352"/>
      <c r="H149" s="352"/>
      <c r="I149" s="352"/>
      <c r="J149" s="352"/>
      <c r="K149" s="352"/>
      <c r="L149" s="352"/>
      <c r="M149" s="352"/>
      <c r="N149" s="352"/>
      <c r="O149" s="352"/>
      <c r="P149" s="352"/>
      <c r="Q149" s="352"/>
      <c r="R149" s="352"/>
      <c r="S149" s="352"/>
      <c r="T149" s="1938"/>
    </row>
    <row r="150" spans="2:20" ht="14.25" x14ac:dyDescent="0.3">
      <c r="B150" s="464"/>
      <c r="C150" s="465" t="str">
        <f t="shared" si="74"/>
        <v>Závorář</v>
      </c>
      <c r="D150" s="466"/>
      <c r="E150" s="352"/>
      <c r="F150" s="352"/>
      <c r="G150" s="352"/>
      <c r="H150" s="352"/>
      <c r="I150" s="352"/>
      <c r="J150" s="352"/>
      <c r="K150" s="352"/>
      <c r="L150" s="352"/>
      <c r="M150" s="352"/>
      <c r="N150" s="352"/>
      <c r="O150" s="352"/>
      <c r="P150" s="352"/>
      <c r="Q150" s="352"/>
      <c r="R150" s="352"/>
      <c r="S150" s="352"/>
      <c r="T150" s="1938"/>
    </row>
    <row r="151" spans="2:20" ht="14.25" x14ac:dyDescent="0.3">
      <c r="B151" s="464"/>
      <c r="C151" s="467" t="str">
        <f t="shared" si="74"/>
        <v>Závorář s prodejem jízdenek</v>
      </c>
      <c r="D151" s="466"/>
      <c r="E151" s="352"/>
      <c r="F151" s="352"/>
      <c r="G151" s="352"/>
      <c r="H151" s="352"/>
      <c r="I151" s="352"/>
      <c r="J151" s="352"/>
      <c r="K151" s="352"/>
      <c r="L151" s="352"/>
      <c r="M151" s="352"/>
      <c r="N151" s="352"/>
      <c r="O151" s="352"/>
      <c r="P151" s="352"/>
      <c r="Q151" s="352"/>
      <c r="R151" s="352"/>
      <c r="S151" s="352"/>
      <c r="T151" s="1938"/>
    </row>
    <row r="152" spans="2:20" ht="14.25" x14ac:dyDescent="0.3">
      <c r="B152" s="464"/>
      <c r="C152" s="468" t="str">
        <f t="shared" si="74"/>
        <v>Hradlář – hláskař</v>
      </c>
      <c r="D152" s="466"/>
      <c r="E152" s="352"/>
      <c r="F152" s="352"/>
      <c r="G152" s="352"/>
      <c r="H152" s="352"/>
      <c r="I152" s="352"/>
      <c r="J152" s="352"/>
      <c r="K152" s="352"/>
      <c r="L152" s="352"/>
      <c r="M152" s="352"/>
      <c r="N152" s="352"/>
      <c r="O152" s="352"/>
      <c r="P152" s="352"/>
      <c r="Q152" s="352"/>
      <c r="R152" s="352"/>
      <c r="S152" s="352"/>
      <c r="T152" s="1938"/>
    </row>
    <row r="153" spans="2:20" ht="14.25" x14ac:dyDescent="0.3">
      <c r="B153" s="464"/>
      <c r="C153" s="468" t="str">
        <f t="shared" si="74"/>
        <v>Hradlář – hláskař s prodejem jízdenek</v>
      </c>
      <c r="D153" s="466"/>
      <c r="E153" s="352"/>
      <c r="F153" s="352"/>
      <c r="G153" s="352"/>
      <c r="H153" s="352"/>
      <c r="I153" s="352"/>
      <c r="J153" s="352"/>
      <c r="K153" s="352"/>
      <c r="L153" s="352"/>
      <c r="M153" s="352"/>
      <c r="N153" s="352"/>
      <c r="O153" s="352"/>
      <c r="P153" s="352"/>
      <c r="Q153" s="352"/>
      <c r="R153" s="352"/>
      <c r="S153" s="352"/>
      <c r="T153" s="1938"/>
    </row>
    <row r="154" spans="2:20" ht="14.25" x14ac:dyDescent="0.3">
      <c r="B154" s="469"/>
      <c r="C154" s="472" t="str">
        <f t="shared" si="74"/>
        <v>Dělník v dopravě – staniční dělník</v>
      </c>
      <c r="D154" s="466"/>
      <c r="E154" s="352"/>
      <c r="F154" s="352"/>
      <c r="G154" s="352"/>
      <c r="H154" s="352"/>
      <c r="I154" s="352"/>
      <c r="J154" s="352"/>
      <c r="K154" s="352"/>
      <c r="L154" s="352"/>
      <c r="M154" s="352"/>
      <c r="N154" s="352"/>
      <c r="O154" s="352"/>
      <c r="P154" s="352"/>
      <c r="Q154" s="352"/>
      <c r="R154" s="352"/>
      <c r="S154" s="352"/>
      <c r="T154" s="1938"/>
    </row>
    <row r="155" spans="2:20" ht="15" thickBot="1" x14ac:dyDescent="0.35">
      <c r="B155" s="415"/>
      <c r="C155" s="416" t="str">
        <f>IF('0 Úvod'!$M$10="English",Slovnik!$D$133,Slovnik!$C$133)</f>
        <v>Celkem</v>
      </c>
      <c r="D155" s="1944"/>
      <c r="E155" s="417">
        <f t="shared" ref="E155:S155" si="75">SUM(E142:E154)</f>
        <v>6.7842943108115037</v>
      </c>
      <c r="F155" s="1950">
        <f t="shared" si="75"/>
        <v>6.7842943108115037</v>
      </c>
      <c r="G155" s="1950">
        <f t="shared" si="75"/>
        <v>6.7842943108115037</v>
      </c>
      <c r="H155" s="1950">
        <f t="shared" si="75"/>
        <v>6.7842943108115037</v>
      </c>
      <c r="I155" s="1950">
        <f t="shared" si="75"/>
        <v>6.7842943108115037</v>
      </c>
      <c r="J155" s="1950">
        <f t="shared" si="75"/>
        <v>6.7842943108115037</v>
      </c>
      <c r="K155" s="1950">
        <f t="shared" si="75"/>
        <v>6.7842943108115037</v>
      </c>
      <c r="L155" s="1950">
        <f t="shared" si="75"/>
        <v>6.7842943108115037</v>
      </c>
      <c r="M155" s="1950">
        <f t="shared" si="75"/>
        <v>6.7842943108115037</v>
      </c>
      <c r="N155" s="1950">
        <f t="shared" si="75"/>
        <v>6.7842943108115037</v>
      </c>
      <c r="O155" s="1950">
        <f t="shared" si="75"/>
        <v>6.7842943108115037</v>
      </c>
      <c r="P155" s="1950">
        <f t="shared" si="75"/>
        <v>6.7842943108115037</v>
      </c>
      <c r="Q155" s="1950">
        <f t="shared" si="75"/>
        <v>6.7842943108115037</v>
      </c>
      <c r="R155" s="1950">
        <f t="shared" si="75"/>
        <v>6.7842943108115037</v>
      </c>
      <c r="S155" s="1951">
        <f t="shared" si="75"/>
        <v>6.7842943108115037</v>
      </c>
      <c r="T155" s="1938"/>
    </row>
    <row r="156" spans="2:20" ht="15" thickBot="1" x14ac:dyDescent="0.35">
      <c r="B156" s="473"/>
      <c r="C156" s="474" t="str">
        <f>IF('0 Úvod'!$M$10="English",Slovnik!$D$162,Slovnik!$C$162)</f>
        <v>Odstupné</v>
      </c>
      <c r="D156" s="1945"/>
      <c r="E156" s="1954">
        <f>SUMPRODUCT($E$91:$E$103*(E$108/$D$91)/4,E142:E154-F142:F154)</f>
        <v>0</v>
      </c>
      <c r="F156" s="1955">
        <f t="shared" ref="F156:R156" si="76">SUMPRODUCT($E$91:$E$103*(F$108/$D$91)/4,F142:F154-G142:G154)</f>
        <v>0</v>
      </c>
      <c r="G156" s="1955">
        <f t="shared" si="76"/>
        <v>0</v>
      </c>
      <c r="H156" s="1955">
        <f t="shared" si="76"/>
        <v>0</v>
      </c>
      <c r="I156" s="1955">
        <f t="shared" si="76"/>
        <v>0</v>
      </c>
      <c r="J156" s="1955">
        <f t="shared" si="76"/>
        <v>0</v>
      </c>
      <c r="K156" s="1955">
        <f t="shared" si="76"/>
        <v>0</v>
      </c>
      <c r="L156" s="1955">
        <f t="shared" si="76"/>
        <v>0</v>
      </c>
      <c r="M156" s="1955">
        <f t="shared" si="76"/>
        <v>0</v>
      </c>
      <c r="N156" s="1955">
        <f t="shared" si="76"/>
        <v>0</v>
      </c>
      <c r="O156" s="1955">
        <f>SUMPRODUCT($E$91:$E$103*(O$108/$D$91)/4,O142:O154-P142:P154)</f>
        <v>0</v>
      </c>
      <c r="P156" s="1955">
        <f t="shared" si="76"/>
        <v>0</v>
      </c>
      <c r="Q156" s="1955">
        <f t="shared" si="76"/>
        <v>0</v>
      </c>
      <c r="R156" s="1955">
        <f t="shared" si="76"/>
        <v>0</v>
      </c>
      <c r="S156" s="1956">
        <f>SUMPRODUCT($E$91:$E$103*(S$108/$D$91)/4,S142:S154-E160:E172)</f>
        <v>0</v>
      </c>
      <c r="T156" s="1938"/>
    </row>
    <row r="157" spans="2:20" ht="14.25" thickBot="1" x14ac:dyDescent="0.35">
      <c r="B157" s="338"/>
      <c r="C157" s="318"/>
      <c r="D157" s="332"/>
      <c r="E157" s="307"/>
      <c r="F157" s="307"/>
      <c r="G157" s="307"/>
      <c r="H157" s="307"/>
      <c r="I157" s="307"/>
      <c r="J157" s="307"/>
      <c r="K157" s="307"/>
      <c r="L157" s="307"/>
      <c r="M157" s="307"/>
      <c r="N157" s="307"/>
      <c r="O157" s="307"/>
      <c r="P157" s="307"/>
      <c r="Q157" s="307"/>
      <c r="R157" s="307"/>
      <c r="S157" s="307"/>
    </row>
    <row r="158" spans="2:20" ht="14.25" x14ac:dyDescent="0.3">
      <c r="B158" s="413" t="str">
        <f>B140</f>
        <v>3.6.</v>
      </c>
      <c r="C158" s="409" t="str">
        <f>C140</f>
        <v>Počty zaměstnanců</v>
      </c>
      <c r="D158" s="410"/>
      <c r="E158" s="2304">
        <f t="shared" ref="E158:S158" si="77">E122</f>
        <v>2036</v>
      </c>
      <c r="F158" s="2298">
        <f t="shared" si="77"/>
        <v>2037</v>
      </c>
      <c r="G158" s="2298">
        <f t="shared" si="77"/>
        <v>2038</v>
      </c>
      <c r="H158" s="2298">
        <f t="shared" si="77"/>
        <v>2039</v>
      </c>
      <c r="I158" s="2298">
        <f t="shared" si="77"/>
        <v>2040</v>
      </c>
      <c r="J158" s="2298">
        <f t="shared" si="77"/>
        <v>2041</v>
      </c>
      <c r="K158" s="2298">
        <f t="shared" si="77"/>
        <v>2042</v>
      </c>
      <c r="L158" s="2298">
        <f t="shared" si="77"/>
        <v>2043</v>
      </c>
      <c r="M158" s="2298">
        <f t="shared" si="77"/>
        <v>2044</v>
      </c>
      <c r="N158" s="2298">
        <f t="shared" si="77"/>
        <v>2045</v>
      </c>
      <c r="O158" s="2298">
        <f t="shared" si="77"/>
        <v>2046</v>
      </c>
      <c r="P158" s="2298">
        <f t="shared" si="77"/>
        <v>2047</v>
      </c>
      <c r="Q158" s="2298">
        <f t="shared" si="77"/>
        <v>2048</v>
      </c>
      <c r="R158" s="2298">
        <f t="shared" si="77"/>
        <v>2049</v>
      </c>
      <c r="S158" s="2309">
        <f t="shared" si="77"/>
        <v>2050</v>
      </c>
    </row>
    <row r="159" spans="2:20" ht="15" thickBot="1" x14ac:dyDescent="0.35">
      <c r="B159" s="406" t="s">
        <v>24</v>
      </c>
      <c r="C159" s="407" t="str">
        <f>C141</f>
        <v>Scénář s projektem</v>
      </c>
      <c r="D159" s="414"/>
      <c r="E159" s="2311"/>
      <c r="F159" s="2306"/>
      <c r="G159" s="2306"/>
      <c r="H159" s="2306"/>
      <c r="I159" s="2306"/>
      <c r="J159" s="2306"/>
      <c r="K159" s="2306"/>
      <c r="L159" s="2306"/>
      <c r="M159" s="2306"/>
      <c r="N159" s="2306"/>
      <c r="O159" s="2306"/>
      <c r="P159" s="2306"/>
      <c r="Q159" s="2306"/>
      <c r="R159" s="2306"/>
      <c r="S159" s="2310"/>
    </row>
    <row r="160" spans="2:20" ht="14.25" x14ac:dyDescent="0.3">
      <c r="B160" s="461"/>
      <c r="C160" s="462" t="str">
        <f t="shared" ref="C160:C172" si="78">C142</f>
        <v>Dozorčí provozu</v>
      </c>
      <c r="D160" s="463"/>
      <c r="E160" s="352"/>
      <c r="F160" s="352"/>
      <c r="G160" s="352"/>
      <c r="H160" s="352"/>
      <c r="I160" s="352"/>
      <c r="J160" s="352"/>
      <c r="K160" s="352"/>
      <c r="L160" s="352"/>
      <c r="M160" s="352"/>
      <c r="N160" s="352"/>
      <c r="O160" s="352"/>
      <c r="P160" s="352"/>
      <c r="Q160" s="352"/>
      <c r="R160" s="352"/>
      <c r="S160" s="352"/>
      <c r="T160" s="1938"/>
    </row>
    <row r="161" spans="2:29" ht="14.25" x14ac:dyDescent="0.3">
      <c r="B161" s="464"/>
      <c r="C161" s="465" t="str">
        <f t="shared" si="78"/>
        <v>Výpravčí</v>
      </c>
      <c r="D161" s="466"/>
      <c r="E161" s="2173">
        <v>6.7842943108115037</v>
      </c>
      <c r="F161" s="2174">
        <v>6.7842943108115037</v>
      </c>
      <c r="G161" s="2174">
        <v>6.7842943108115037</v>
      </c>
      <c r="H161" s="2174">
        <v>6.7842943108115037</v>
      </c>
      <c r="I161" s="2174">
        <v>6.7842943108115037</v>
      </c>
      <c r="J161" s="2174">
        <v>6.7842943108115037</v>
      </c>
      <c r="K161" s="2174">
        <v>6.7842943108115037</v>
      </c>
      <c r="L161" s="2174">
        <v>6.7842943108115037</v>
      </c>
      <c r="M161" s="2174">
        <v>6.7842943108115037</v>
      </c>
      <c r="N161" s="2174">
        <v>6.7842943108115037</v>
      </c>
      <c r="O161" s="2174">
        <v>6.7842943108115037</v>
      </c>
      <c r="P161" s="2174">
        <v>6.7842943108115037</v>
      </c>
      <c r="Q161" s="2174">
        <v>6.7842943108115037</v>
      </c>
      <c r="R161" s="2174">
        <v>6.7842943108115037</v>
      </c>
      <c r="S161" s="2175">
        <v>6.7842943108115037</v>
      </c>
      <c r="T161" s="1938"/>
    </row>
    <row r="162" spans="2:29" ht="14.25" x14ac:dyDescent="0.3">
      <c r="B162" s="464"/>
      <c r="C162" s="465" t="str">
        <f t="shared" si="78"/>
        <v>Dozorčí provozu – vedoucí směny</v>
      </c>
      <c r="D162" s="466"/>
      <c r="E162" s="352"/>
      <c r="F162" s="352"/>
      <c r="G162" s="352"/>
      <c r="H162" s="352"/>
      <c r="I162" s="352"/>
      <c r="J162" s="352"/>
      <c r="K162" s="352"/>
      <c r="L162" s="352"/>
      <c r="M162" s="352"/>
      <c r="N162" s="352"/>
      <c r="O162" s="352"/>
      <c r="P162" s="352"/>
      <c r="Q162" s="352"/>
      <c r="R162" s="352"/>
      <c r="S162" s="352"/>
      <c r="T162" s="1938"/>
    </row>
    <row r="163" spans="2:29" ht="14.25" x14ac:dyDescent="0.3">
      <c r="B163" s="464"/>
      <c r="C163" s="465" t="str">
        <f t="shared" si="78"/>
        <v>Operátor železniční dopravy</v>
      </c>
      <c r="D163" s="466"/>
      <c r="E163" s="352"/>
      <c r="F163" s="352"/>
      <c r="G163" s="352"/>
      <c r="H163" s="352"/>
      <c r="I163" s="352"/>
      <c r="J163" s="352"/>
      <c r="K163" s="352"/>
      <c r="L163" s="352"/>
      <c r="M163" s="352"/>
      <c r="N163" s="352"/>
      <c r="O163" s="352"/>
      <c r="P163" s="352"/>
      <c r="Q163" s="352"/>
      <c r="R163" s="352"/>
      <c r="S163" s="352"/>
      <c r="T163" s="1938"/>
    </row>
    <row r="164" spans="2:29" ht="14.25" x14ac:dyDescent="0.3">
      <c r="B164" s="464"/>
      <c r="C164" s="465" t="str">
        <f t="shared" si="78"/>
        <v>Signalista</v>
      </c>
      <c r="D164" s="466"/>
      <c r="E164" s="352"/>
      <c r="F164" s="352"/>
      <c r="G164" s="352"/>
      <c r="H164" s="352"/>
      <c r="I164" s="352"/>
      <c r="J164" s="352"/>
      <c r="K164" s="352"/>
      <c r="L164" s="352"/>
      <c r="M164" s="352"/>
      <c r="N164" s="352"/>
      <c r="O164" s="352"/>
      <c r="P164" s="352"/>
      <c r="Q164" s="352"/>
      <c r="R164" s="352"/>
      <c r="S164" s="352"/>
      <c r="T164" s="1938"/>
    </row>
    <row r="165" spans="2:29" ht="14.25" x14ac:dyDescent="0.3">
      <c r="B165" s="464"/>
      <c r="C165" s="465" t="str">
        <f t="shared" si="78"/>
        <v>Výhybkář</v>
      </c>
      <c r="D165" s="466"/>
      <c r="E165" s="352"/>
      <c r="F165" s="352"/>
      <c r="G165" s="352"/>
      <c r="H165" s="352"/>
      <c r="I165" s="352"/>
      <c r="J165" s="352"/>
      <c r="K165" s="352"/>
      <c r="L165" s="352"/>
      <c r="M165" s="352"/>
      <c r="N165" s="352"/>
      <c r="O165" s="352"/>
      <c r="P165" s="352"/>
      <c r="Q165" s="352"/>
      <c r="R165" s="352"/>
      <c r="S165" s="352"/>
      <c r="T165" s="1938"/>
    </row>
    <row r="166" spans="2:29" ht="14.25" x14ac:dyDescent="0.3">
      <c r="B166" s="464"/>
      <c r="C166" s="465" t="str">
        <f t="shared" si="78"/>
        <v>Staniční dozorce</v>
      </c>
      <c r="D166" s="466"/>
      <c r="E166" s="352"/>
      <c r="F166" s="352"/>
      <c r="G166" s="352"/>
      <c r="H166" s="352"/>
      <c r="I166" s="352"/>
      <c r="J166" s="352"/>
      <c r="K166" s="352"/>
      <c r="L166" s="352"/>
      <c r="M166" s="352"/>
      <c r="N166" s="352"/>
      <c r="O166" s="352"/>
      <c r="P166" s="352"/>
      <c r="Q166" s="352"/>
      <c r="R166" s="352"/>
      <c r="S166" s="352"/>
      <c r="T166" s="1938"/>
    </row>
    <row r="167" spans="2:29" ht="14.25" x14ac:dyDescent="0.3">
      <c r="B167" s="464"/>
      <c r="C167" s="465" t="str">
        <f t="shared" si="78"/>
        <v>Dozorce výhybek</v>
      </c>
      <c r="D167" s="466"/>
      <c r="E167" s="352"/>
      <c r="F167" s="352"/>
      <c r="G167" s="352"/>
      <c r="H167" s="352"/>
      <c r="I167" s="352"/>
      <c r="J167" s="352"/>
      <c r="K167" s="352"/>
      <c r="L167" s="352"/>
      <c r="M167" s="352"/>
      <c r="N167" s="352"/>
      <c r="O167" s="352"/>
      <c r="P167" s="352"/>
      <c r="Q167" s="352"/>
      <c r="R167" s="352"/>
      <c r="S167" s="352"/>
      <c r="T167" s="1938"/>
    </row>
    <row r="168" spans="2:29" ht="14.25" x14ac:dyDescent="0.3">
      <c r="B168" s="464"/>
      <c r="C168" s="465" t="str">
        <f t="shared" si="78"/>
        <v>Závorář</v>
      </c>
      <c r="D168" s="466"/>
      <c r="E168" s="352"/>
      <c r="F168" s="352"/>
      <c r="G168" s="352"/>
      <c r="H168" s="352"/>
      <c r="I168" s="352"/>
      <c r="J168" s="352"/>
      <c r="K168" s="352"/>
      <c r="L168" s="352"/>
      <c r="M168" s="352"/>
      <c r="N168" s="352"/>
      <c r="O168" s="352"/>
      <c r="P168" s="352"/>
      <c r="Q168" s="352"/>
      <c r="R168" s="352"/>
      <c r="S168" s="352"/>
      <c r="T168" s="1938"/>
    </row>
    <row r="169" spans="2:29" ht="14.25" x14ac:dyDescent="0.3">
      <c r="B169" s="464"/>
      <c r="C169" s="467" t="str">
        <f t="shared" si="78"/>
        <v>Závorář s prodejem jízdenek</v>
      </c>
      <c r="D169" s="466"/>
      <c r="E169" s="352"/>
      <c r="F169" s="352"/>
      <c r="G169" s="352"/>
      <c r="H169" s="352"/>
      <c r="I169" s="352"/>
      <c r="J169" s="352"/>
      <c r="K169" s="352"/>
      <c r="L169" s="352"/>
      <c r="M169" s="352"/>
      <c r="N169" s="352"/>
      <c r="O169" s="352"/>
      <c r="P169" s="352"/>
      <c r="Q169" s="352"/>
      <c r="R169" s="352"/>
      <c r="S169" s="352"/>
      <c r="T169" s="1938"/>
    </row>
    <row r="170" spans="2:29" ht="14.25" x14ac:dyDescent="0.3">
      <c r="B170" s="464"/>
      <c r="C170" s="468" t="str">
        <f t="shared" si="78"/>
        <v>Hradlář – hláskař</v>
      </c>
      <c r="D170" s="466"/>
      <c r="E170" s="352"/>
      <c r="F170" s="352"/>
      <c r="G170" s="352"/>
      <c r="H170" s="352"/>
      <c r="I170" s="352"/>
      <c r="J170" s="352"/>
      <c r="K170" s="352"/>
      <c r="L170" s="352"/>
      <c r="M170" s="352"/>
      <c r="N170" s="352"/>
      <c r="O170" s="352"/>
      <c r="P170" s="352"/>
      <c r="Q170" s="352"/>
      <c r="R170" s="352"/>
      <c r="S170" s="352"/>
      <c r="T170" s="1938"/>
    </row>
    <row r="171" spans="2:29" ht="14.25" x14ac:dyDescent="0.3">
      <c r="B171" s="464"/>
      <c r="C171" s="468" t="str">
        <f t="shared" si="78"/>
        <v>Hradlář – hláskař s prodejem jízdenek</v>
      </c>
      <c r="D171" s="466"/>
      <c r="E171" s="352"/>
      <c r="F171" s="352"/>
      <c r="G171" s="352"/>
      <c r="H171" s="352"/>
      <c r="I171" s="352"/>
      <c r="J171" s="352"/>
      <c r="K171" s="352"/>
      <c r="L171" s="352"/>
      <c r="M171" s="352"/>
      <c r="N171" s="352"/>
      <c r="O171" s="352"/>
      <c r="P171" s="352"/>
      <c r="Q171" s="352"/>
      <c r="R171" s="352"/>
      <c r="S171" s="352"/>
      <c r="T171" s="1938"/>
    </row>
    <row r="172" spans="2:29" ht="14.25" x14ac:dyDescent="0.3">
      <c r="B172" s="469"/>
      <c r="C172" s="470" t="str">
        <f t="shared" si="78"/>
        <v>Dělník v dopravě – staniční dělník</v>
      </c>
      <c r="D172" s="466"/>
      <c r="E172" s="352"/>
      <c r="F172" s="352"/>
      <c r="G172" s="352"/>
      <c r="H172" s="352"/>
      <c r="I172" s="352"/>
      <c r="J172" s="352"/>
      <c r="K172" s="352"/>
      <c r="L172" s="352"/>
      <c r="M172" s="352"/>
      <c r="N172" s="352"/>
      <c r="O172" s="352"/>
      <c r="P172" s="352"/>
      <c r="Q172" s="352"/>
      <c r="R172" s="352"/>
      <c r="S172" s="352"/>
      <c r="T172" s="1938"/>
    </row>
    <row r="173" spans="2:29" ht="15" thickBot="1" x14ac:dyDescent="0.35">
      <c r="B173" s="415"/>
      <c r="C173" s="416" t="str">
        <f>C155</f>
        <v>Celkem</v>
      </c>
      <c r="D173" s="1946"/>
      <c r="E173" s="417">
        <f>SUM(E160:E172)</f>
        <v>6.7842943108115037</v>
      </c>
      <c r="F173" s="1950">
        <f t="shared" ref="F173:S173" si="79">SUM(F160:F172)</f>
        <v>6.7842943108115037</v>
      </c>
      <c r="G173" s="1950">
        <f t="shared" si="79"/>
        <v>6.7842943108115037</v>
      </c>
      <c r="H173" s="1950">
        <f t="shared" si="79"/>
        <v>6.7842943108115037</v>
      </c>
      <c r="I173" s="1950">
        <f t="shared" si="79"/>
        <v>6.7842943108115037</v>
      </c>
      <c r="J173" s="1950">
        <f t="shared" si="79"/>
        <v>6.7842943108115037</v>
      </c>
      <c r="K173" s="1950">
        <f t="shared" si="79"/>
        <v>6.7842943108115037</v>
      </c>
      <c r="L173" s="1950">
        <f t="shared" si="79"/>
        <v>6.7842943108115037</v>
      </c>
      <c r="M173" s="1950">
        <f t="shared" si="79"/>
        <v>6.7842943108115037</v>
      </c>
      <c r="N173" s="1950">
        <f t="shared" si="79"/>
        <v>6.7842943108115037</v>
      </c>
      <c r="O173" s="1950">
        <f t="shared" si="79"/>
        <v>6.7842943108115037</v>
      </c>
      <c r="P173" s="1950">
        <f t="shared" si="79"/>
        <v>6.7842943108115037</v>
      </c>
      <c r="Q173" s="1950">
        <f t="shared" si="79"/>
        <v>6.7842943108115037</v>
      </c>
      <c r="R173" s="1950">
        <f t="shared" si="79"/>
        <v>6.7842943108115037</v>
      </c>
      <c r="S173" s="1951">
        <f t="shared" si="79"/>
        <v>6.7842943108115037</v>
      </c>
      <c r="T173" s="1938"/>
    </row>
    <row r="174" spans="2:29" ht="15" thickBot="1" x14ac:dyDescent="0.35">
      <c r="B174" s="473"/>
      <c r="C174" s="474" t="str">
        <f>C156</f>
        <v>Odstupné</v>
      </c>
      <c r="D174" s="1945"/>
      <c r="E174" s="1954">
        <f>SUMPRODUCT($E$91:$E$103*(E$125/$D$91)/4,E160:E172-F160:F172)</f>
        <v>0</v>
      </c>
      <c r="F174" s="1955">
        <f t="shared" ref="F174:R174" si="80">SUMPRODUCT($E$91:$E$103*(F$125/$D$91)/4,F160:F172-G160:G172)</f>
        <v>0</v>
      </c>
      <c r="G174" s="1955">
        <f t="shared" si="80"/>
        <v>0</v>
      </c>
      <c r="H174" s="1955">
        <f t="shared" si="80"/>
        <v>0</v>
      </c>
      <c r="I174" s="1955">
        <f t="shared" si="80"/>
        <v>0</v>
      </c>
      <c r="J174" s="1955">
        <f t="shared" si="80"/>
        <v>0</v>
      </c>
      <c r="K174" s="1955">
        <f t="shared" si="80"/>
        <v>0</v>
      </c>
      <c r="L174" s="1955">
        <f t="shared" si="80"/>
        <v>0</v>
      </c>
      <c r="M174" s="1955">
        <f t="shared" si="80"/>
        <v>0</v>
      </c>
      <c r="N174" s="1955">
        <f t="shared" si="80"/>
        <v>0</v>
      </c>
      <c r="O174" s="1955">
        <f t="shared" si="80"/>
        <v>0</v>
      </c>
      <c r="P174" s="1955">
        <f t="shared" si="80"/>
        <v>0</v>
      </c>
      <c r="Q174" s="1955">
        <f t="shared" si="80"/>
        <v>0</v>
      </c>
      <c r="R174" s="1955">
        <f t="shared" si="80"/>
        <v>0</v>
      </c>
      <c r="S174" s="1956">
        <v>0</v>
      </c>
      <c r="T174" s="1938"/>
    </row>
    <row r="175" spans="2:29" ht="14.25" thickBot="1" x14ac:dyDescent="0.35">
      <c r="B175" s="339"/>
      <c r="C175" s="340"/>
      <c r="D175" s="332"/>
      <c r="E175" s="341"/>
      <c r="F175" s="341"/>
      <c r="G175" s="341"/>
      <c r="H175" s="341"/>
      <c r="I175" s="341"/>
      <c r="J175" s="341"/>
      <c r="K175" s="341"/>
      <c r="L175" s="341"/>
      <c r="M175" s="341"/>
      <c r="N175" s="341"/>
      <c r="O175" s="341"/>
      <c r="P175" s="341"/>
      <c r="Q175" s="341"/>
      <c r="R175" s="341"/>
      <c r="S175" s="341"/>
      <c r="T175" s="341"/>
      <c r="U175" s="341"/>
      <c r="V175" s="341"/>
      <c r="W175" s="341"/>
      <c r="X175" s="341"/>
      <c r="Y175" s="341"/>
      <c r="Z175" s="341"/>
      <c r="AA175" s="341"/>
      <c r="AB175" s="341"/>
      <c r="AC175" s="341"/>
    </row>
    <row r="176" spans="2:29" ht="14.25" x14ac:dyDescent="0.3">
      <c r="B176" s="342" t="s">
        <v>95</v>
      </c>
      <c r="C176" s="343" t="str">
        <f>C158</f>
        <v>Počty zaměstnanců</v>
      </c>
      <c r="D176" s="344"/>
      <c r="E176" s="2300">
        <f t="shared" ref="E176:S176" si="81">E140</f>
        <v>2021</v>
      </c>
      <c r="F176" s="2302">
        <f t="shared" si="81"/>
        <v>2022</v>
      </c>
      <c r="G176" s="2302">
        <f t="shared" si="81"/>
        <v>2023</v>
      </c>
      <c r="H176" s="2302">
        <f t="shared" si="81"/>
        <v>2024</v>
      </c>
      <c r="I176" s="2302">
        <f t="shared" si="81"/>
        <v>2025</v>
      </c>
      <c r="J176" s="2302">
        <f t="shared" si="81"/>
        <v>2026</v>
      </c>
      <c r="K176" s="2302">
        <f t="shared" si="81"/>
        <v>2027</v>
      </c>
      <c r="L176" s="2302">
        <f t="shared" si="81"/>
        <v>2028</v>
      </c>
      <c r="M176" s="2302">
        <f t="shared" si="81"/>
        <v>2029</v>
      </c>
      <c r="N176" s="2302">
        <f t="shared" si="81"/>
        <v>2030</v>
      </c>
      <c r="O176" s="2302">
        <f t="shared" si="81"/>
        <v>2031</v>
      </c>
      <c r="P176" s="2302">
        <f t="shared" si="81"/>
        <v>2032</v>
      </c>
      <c r="Q176" s="2302">
        <f t="shared" si="81"/>
        <v>2033</v>
      </c>
      <c r="R176" s="2302">
        <f t="shared" si="81"/>
        <v>2034</v>
      </c>
      <c r="S176" s="2307">
        <f t="shared" si="81"/>
        <v>2035</v>
      </c>
    </row>
    <row r="177" spans="2:20" ht="15" thickBot="1" x14ac:dyDescent="0.35">
      <c r="B177" s="345" t="s">
        <v>23</v>
      </c>
      <c r="C177" s="346" t="str">
        <f>IF('0 Úvod'!$M$10="English",Slovnik!$D$134,Slovnik!$C$134)</f>
        <v>Scénář bez projektu</v>
      </c>
      <c r="D177" s="347"/>
      <c r="E177" s="2301"/>
      <c r="F177" s="2303"/>
      <c r="G177" s="2303"/>
      <c r="H177" s="2303"/>
      <c r="I177" s="2303"/>
      <c r="J177" s="2303"/>
      <c r="K177" s="2303"/>
      <c r="L177" s="2303"/>
      <c r="M177" s="2303"/>
      <c r="N177" s="2303"/>
      <c r="O177" s="2303"/>
      <c r="P177" s="2303"/>
      <c r="Q177" s="2303"/>
      <c r="R177" s="2303"/>
      <c r="S177" s="2308"/>
    </row>
    <row r="178" spans="2:20" ht="14.25" x14ac:dyDescent="0.3">
      <c r="B178" s="461"/>
      <c r="C178" s="462" t="str">
        <f t="shared" ref="C178:C190" si="82">C160</f>
        <v>Dozorčí provozu</v>
      </c>
      <c r="D178" s="463"/>
      <c r="E178" s="352"/>
      <c r="F178" s="352"/>
      <c r="G178" s="352"/>
      <c r="H178" s="352"/>
      <c r="I178" s="352"/>
      <c r="J178" s="352"/>
      <c r="K178" s="352"/>
      <c r="L178" s="352"/>
      <c r="M178" s="352"/>
      <c r="N178" s="352"/>
      <c r="O178" s="352"/>
      <c r="P178" s="352"/>
      <c r="Q178" s="352"/>
      <c r="R178" s="352"/>
      <c r="S178" s="352"/>
      <c r="T178" s="1938"/>
    </row>
    <row r="179" spans="2:20" ht="14.25" x14ac:dyDescent="0.3">
      <c r="B179" s="464"/>
      <c r="C179" s="465" t="str">
        <f t="shared" si="82"/>
        <v>Výpravčí</v>
      </c>
      <c r="D179" s="466"/>
      <c r="E179" s="2173">
        <v>6.7842943108115037</v>
      </c>
      <c r="F179" s="2174">
        <v>6.7842943108115037</v>
      </c>
      <c r="G179" s="2174">
        <v>6.7842943108115037</v>
      </c>
      <c r="H179" s="2174">
        <v>6.7842943108115037</v>
      </c>
      <c r="I179" s="2174">
        <v>6.7842943108115037</v>
      </c>
      <c r="J179" s="2174">
        <v>6.7842943108115037</v>
      </c>
      <c r="K179" s="2174">
        <v>6.7842943108115037</v>
      </c>
      <c r="L179" s="2174">
        <v>6.7842943108115037</v>
      </c>
      <c r="M179" s="2174">
        <v>6.7842943108115037</v>
      </c>
      <c r="N179" s="2174">
        <v>6.7842943108115037</v>
      </c>
      <c r="O179" s="2174">
        <v>6.7842943108115037</v>
      </c>
      <c r="P179" s="2174">
        <v>6.7842943108115037</v>
      </c>
      <c r="Q179" s="2174">
        <v>6.7842943108115037</v>
      </c>
      <c r="R179" s="2174">
        <v>6.7842943108115037</v>
      </c>
      <c r="S179" s="2175">
        <v>6.7842943108115037</v>
      </c>
      <c r="T179" s="1938"/>
    </row>
    <row r="180" spans="2:20" ht="14.25" x14ac:dyDescent="0.3">
      <c r="B180" s="464"/>
      <c r="C180" s="465" t="str">
        <f t="shared" si="82"/>
        <v>Dozorčí provozu – vedoucí směny</v>
      </c>
      <c r="D180" s="466"/>
      <c r="E180" s="352"/>
      <c r="F180" s="352"/>
      <c r="G180" s="352"/>
      <c r="H180" s="352"/>
      <c r="I180" s="352"/>
      <c r="J180" s="352"/>
      <c r="K180" s="352"/>
      <c r="L180" s="352"/>
      <c r="M180" s="352"/>
      <c r="N180" s="352"/>
      <c r="O180" s="352"/>
      <c r="P180" s="352"/>
      <c r="Q180" s="352"/>
      <c r="R180" s="352"/>
      <c r="S180" s="352"/>
      <c r="T180" s="1938"/>
    </row>
    <row r="181" spans="2:20" ht="14.25" x14ac:dyDescent="0.3">
      <c r="B181" s="464"/>
      <c r="C181" s="465" t="str">
        <f t="shared" si="82"/>
        <v>Operátor železniční dopravy</v>
      </c>
      <c r="D181" s="466"/>
      <c r="E181" s="352"/>
      <c r="F181" s="352"/>
      <c r="G181" s="352"/>
      <c r="H181" s="352"/>
      <c r="I181" s="352"/>
      <c r="J181" s="352"/>
      <c r="K181" s="352"/>
      <c r="L181" s="352"/>
      <c r="M181" s="352"/>
      <c r="N181" s="352"/>
      <c r="O181" s="352"/>
      <c r="P181" s="352"/>
      <c r="Q181" s="352"/>
      <c r="R181" s="352"/>
      <c r="S181" s="352"/>
      <c r="T181" s="1938"/>
    </row>
    <row r="182" spans="2:20" ht="14.25" x14ac:dyDescent="0.3">
      <c r="B182" s="464"/>
      <c r="C182" s="465" t="str">
        <f t="shared" si="82"/>
        <v>Signalista</v>
      </c>
      <c r="D182" s="466"/>
      <c r="E182" s="352"/>
      <c r="F182" s="352"/>
      <c r="G182" s="352"/>
      <c r="H182" s="352"/>
      <c r="I182" s="352"/>
      <c r="J182" s="352"/>
      <c r="K182" s="352"/>
      <c r="L182" s="352"/>
      <c r="M182" s="352"/>
      <c r="N182" s="352"/>
      <c r="O182" s="352"/>
      <c r="P182" s="352"/>
      <c r="Q182" s="352"/>
      <c r="R182" s="352"/>
      <c r="S182" s="352"/>
      <c r="T182" s="1938"/>
    </row>
    <row r="183" spans="2:20" ht="14.25" x14ac:dyDescent="0.3">
      <c r="B183" s="464"/>
      <c r="C183" s="465" t="str">
        <f t="shared" si="82"/>
        <v>Výhybkář</v>
      </c>
      <c r="D183" s="466"/>
      <c r="E183" s="352"/>
      <c r="F183" s="352"/>
      <c r="G183" s="352"/>
      <c r="H183" s="352"/>
      <c r="I183" s="352"/>
      <c r="J183" s="352"/>
      <c r="K183" s="352"/>
      <c r="L183" s="352"/>
      <c r="M183" s="352"/>
      <c r="N183" s="352"/>
      <c r="O183" s="352"/>
      <c r="P183" s="352"/>
      <c r="Q183" s="352"/>
      <c r="R183" s="352"/>
      <c r="S183" s="352"/>
      <c r="T183" s="1938"/>
    </row>
    <row r="184" spans="2:20" ht="14.25" x14ac:dyDescent="0.3">
      <c r="B184" s="464"/>
      <c r="C184" s="465" t="str">
        <f t="shared" si="82"/>
        <v>Staniční dozorce</v>
      </c>
      <c r="D184" s="466"/>
      <c r="E184" s="352"/>
      <c r="F184" s="352"/>
      <c r="G184" s="352"/>
      <c r="H184" s="352"/>
      <c r="I184" s="352"/>
      <c r="J184" s="352"/>
      <c r="K184" s="352"/>
      <c r="L184" s="352"/>
      <c r="M184" s="352"/>
      <c r="N184" s="352"/>
      <c r="O184" s="352"/>
      <c r="P184" s="352"/>
      <c r="Q184" s="352"/>
      <c r="R184" s="352"/>
      <c r="S184" s="352"/>
      <c r="T184" s="1938"/>
    </row>
    <row r="185" spans="2:20" ht="14.25" x14ac:dyDescent="0.3">
      <c r="B185" s="464"/>
      <c r="C185" s="465" t="str">
        <f t="shared" si="82"/>
        <v>Dozorce výhybek</v>
      </c>
      <c r="D185" s="466"/>
      <c r="E185" s="352"/>
      <c r="F185" s="352"/>
      <c r="G185" s="352"/>
      <c r="H185" s="352"/>
      <c r="I185" s="352"/>
      <c r="J185" s="352"/>
      <c r="K185" s="352"/>
      <c r="L185" s="352"/>
      <c r="M185" s="352"/>
      <c r="N185" s="352"/>
      <c r="O185" s="352"/>
      <c r="P185" s="352"/>
      <c r="Q185" s="352"/>
      <c r="R185" s="352"/>
      <c r="S185" s="352"/>
      <c r="T185" s="1938"/>
    </row>
    <row r="186" spans="2:20" ht="14.25" x14ac:dyDescent="0.3">
      <c r="B186" s="464"/>
      <c r="C186" s="465" t="str">
        <f t="shared" si="82"/>
        <v>Závorář</v>
      </c>
      <c r="D186" s="466"/>
      <c r="E186" s="352"/>
      <c r="F186" s="352"/>
      <c r="G186" s="352"/>
      <c r="H186" s="352"/>
      <c r="I186" s="352"/>
      <c r="J186" s="352"/>
      <c r="K186" s="352"/>
      <c r="L186" s="352"/>
      <c r="M186" s="352"/>
      <c r="N186" s="352"/>
      <c r="O186" s="352"/>
      <c r="P186" s="352"/>
      <c r="Q186" s="352"/>
      <c r="R186" s="352"/>
      <c r="S186" s="352"/>
      <c r="T186" s="1938"/>
    </row>
    <row r="187" spans="2:20" ht="14.25" x14ac:dyDescent="0.3">
      <c r="B187" s="464"/>
      <c r="C187" s="467" t="str">
        <f t="shared" si="82"/>
        <v>Závorář s prodejem jízdenek</v>
      </c>
      <c r="D187" s="466"/>
      <c r="E187" s="352"/>
      <c r="F187" s="352"/>
      <c r="G187" s="352"/>
      <c r="H187" s="352"/>
      <c r="I187" s="352"/>
      <c r="J187" s="352"/>
      <c r="K187" s="352"/>
      <c r="L187" s="352"/>
      <c r="M187" s="352"/>
      <c r="N187" s="352"/>
      <c r="O187" s="352"/>
      <c r="P187" s="352"/>
      <c r="Q187" s="352"/>
      <c r="R187" s="352"/>
      <c r="S187" s="352"/>
      <c r="T187" s="1938"/>
    </row>
    <row r="188" spans="2:20" ht="14.25" x14ac:dyDescent="0.3">
      <c r="B188" s="464"/>
      <c r="C188" s="468" t="str">
        <f t="shared" si="82"/>
        <v>Hradlář – hláskař</v>
      </c>
      <c r="D188" s="466"/>
      <c r="E188" s="352"/>
      <c r="F188" s="352"/>
      <c r="G188" s="352"/>
      <c r="H188" s="352"/>
      <c r="I188" s="352"/>
      <c r="J188" s="352"/>
      <c r="K188" s="352"/>
      <c r="L188" s="352"/>
      <c r="M188" s="352"/>
      <c r="N188" s="352"/>
      <c r="O188" s="352"/>
      <c r="P188" s="352"/>
      <c r="Q188" s="352"/>
      <c r="R188" s="352"/>
      <c r="S188" s="352"/>
      <c r="T188" s="1938"/>
    </row>
    <row r="189" spans="2:20" ht="14.25" x14ac:dyDescent="0.3">
      <c r="B189" s="464"/>
      <c r="C189" s="468" t="str">
        <f t="shared" si="82"/>
        <v>Hradlář – hláskař s prodejem jízdenek</v>
      </c>
      <c r="D189" s="466"/>
      <c r="E189" s="352"/>
      <c r="F189" s="352"/>
      <c r="G189" s="352"/>
      <c r="H189" s="352"/>
      <c r="I189" s="352"/>
      <c r="J189" s="352"/>
      <c r="K189" s="352"/>
      <c r="L189" s="352"/>
      <c r="M189" s="352"/>
      <c r="N189" s="352"/>
      <c r="O189" s="352"/>
      <c r="P189" s="352"/>
      <c r="Q189" s="352"/>
      <c r="R189" s="352"/>
      <c r="S189" s="352"/>
      <c r="T189" s="1938"/>
    </row>
    <row r="190" spans="2:20" ht="14.25" x14ac:dyDescent="0.3">
      <c r="B190" s="469"/>
      <c r="C190" s="472" t="str">
        <f t="shared" si="82"/>
        <v>Dělník v dopravě – staniční dělník</v>
      </c>
      <c r="D190" s="466"/>
      <c r="E190" s="352"/>
      <c r="F190" s="352"/>
      <c r="G190" s="352"/>
      <c r="H190" s="352"/>
      <c r="I190" s="352"/>
      <c r="J190" s="352"/>
      <c r="K190" s="352"/>
      <c r="L190" s="352"/>
      <c r="M190" s="352"/>
      <c r="N190" s="352"/>
      <c r="O190" s="352"/>
      <c r="P190" s="352"/>
      <c r="Q190" s="352"/>
      <c r="R190" s="352"/>
      <c r="S190" s="352"/>
      <c r="T190" s="1938"/>
    </row>
    <row r="191" spans="2:20" ht="15" thickBot="1" x14ac:dyDescent="0.35">
      <c r="B191" s="418"/>
      <c r="C191" s="419" t="str">
        <f>C173</f>
        <v>Celkem</v>
      </c>
      <c r="D191" s="1947"/>
      <c r="E191" s="420">
        <f>SUM(E178:E190)</f>
        <v>6.7842943108115037</v>
      </c>
      <c r="F191" s="1952">
        <f t="shared" ref="F191:S191" si="83">SUM(F178:F190)</f>
        <v>6.7842943108115037</v>
      </c>
      <c r="G191" s="1952">
        <f t="shared" si="83"/>
        <v>6.7842943108115037</v>
      </c>
      <c r="H191" s="1952">
        <f t="shared" si="83"/>
        <v>6.7842943108115037</v>
      </c>
      <c r="I191" s="1952">
        <f t="shared" si="83"/>
        <v>6.7842943108115037</v>
      </c>
      <c r="J191" s="1952">
        <f t="shared" si="83"/>
        <v>6.7842943108115037</v>
      </c>
      <c r="K191" s="1952">
        <f t="shared" si="83"/>
        <v>6.7842943108115037</v>
      </c>
      <c r="L191" s="1952">
        <f t="shared" si="83"/>
        <v>6.7842943108115037</v>
      </c>
      <c r="M191" s="1952">
        <f t="shared" si="83"/>
        <v>6.7842943108115037</v>
      </c>
      <c r="N191" s="1952">
        <f t="shared" si="83"/>
        <v>6.7842943108115037</v>
      </c>
      <c r="O191" s="1952">
        <f t="shared" si="83"/>
        <v>6.7842943108115037</v>
      </c>
      <c r="P191" s="1952">
        <f t="shared" si="83"/>
        <v>6.7842943108115037</v>
      </c>
      <c r="Q191" s="1952">
        <f t="shared" si="83"/>
        <v>6.7842943108115037</v>
      </c>
      <c r="R191" s="1952">
        <f t="shared" si="83"/>
        <v>6.7842943108115037</v>
      </c>
      <c r="S191" s="1953">
        <f t="shared" si="83"/>
        <v>6.7842943108115037</v>
      </c>
      <c r="T191" s="1938"/>
    </row>
    <row r="192" spans="2:20" ht="15" thickBot="1" x14ac:dyDescent="0.35">
      <c r="B192" s="473"/>
      <c r="C192" s="474" t="str">
        <f>C174</f>
        <v>Odstupné</v>
      </c>
      <c r="D192" s="1945"/>
      <c r="E192" s="1954">
        <f>SUMPRODUCT($E$91:$E$103*(E$108/$D$91)/4,E178:E190-F178:F190)</f>
        <v>0</v>
      </c>
      <c r="F192" s="1955">
        <f t="shared" ref="F192:R192" si="84">SUMPRODUCT($E$91:$E$103*(F$108/$D$91)/4,F178:F190-G178:G190)</f>
        <v>0</v>
      </c>
      <c r="G192" s="1955">
        <f t="shared" si="84"/>
        <v>0</v>
      </c>
      <c r="H192" s="1955">
        <f t="shared" si="84"/>
        <v>0</v>
      </c>
      <c r="I192" s="1955">
        <f t="shared" si="84"/>
        <v>0</v>
      </c>
      <c r="J192" s="1955">
        <f t="shared" si="84"/>
        <v>0</v>
      </c>
      <c r="K192" s="1955">
        <f t="shared" si="84"/>
        <v>0</v>
      </c>
      <c r="L192" s="1955">
        <f t="shared" si="84"/>
        <v>0</v>
      </c>
      <c r="M192" s="1955">
        <f t="shared" si="84"/>
        <v>0</v>
      </c>
      <c r="N192" s="1955">
        <f t="shared" si="84"/>
        <v>0</v>
      </c>
      <c r="O192" s="1955">
        <f>SUMPRODUCT($E$91:$E$103*(O$108/$D$91)/4,O178:O190-P178:P190)</f>
        <v>0</v>
      </c>
      <c r="P192" s="1955">
        <f t="shared" si="84"/>
        <v>0</v>
      </c>
      <c r="Q192" s="1955">
        <f t="shared" si="84"/>
        <v>0</v>
      </c>
      <c r="R192" s="1955">
        <f t="shared" si="84"/>
        <v>0</v>
      </c>
      <c r="S192" s="1956">
        <f>SUMPRODUCT($E$91:$E$103*(S$108/$D$91)/4,S178:S190-E196:E208)</f>
        <v>0</v>
      </c>
      <c r="T192" s="1938"/>
    </row>
    <row r="193" spans="2:20" ht="14.25" thickBot="1" x14ac:dyDescent="0.35">
      <c r="B193" s="348"/>
      <c r="C193" s="318"/>
      <c r="D193" s="332"/>
      <c r="E193" s="307"/>
      <c r="F193" s="307"/>
      <c r="G193" s="307"/>
      <c r="H193" s="307"/>
      <c r="I193" s="307"/>
      <c r="J193" s="307"/>
      <c r="K193" s="307"/>
      <c r="L193" s="307"/>
      <c r="M193" s="307"/>
      <c r="N193" s="307"/>
      <c r="O193" s="307"/>
      <c r="P193" s="307"/>
      <c r="Q193" s="307"/>
      <c r="R193" s="307"/>
      <c r="S193" s="307"/>
    </row>
    <row r="194" spans="2:20" ht="14.25" x14ac:dyDescent="0.3">
      <c r="B194" s="342" t="str">
        <f>B176</f>
        <v>3.7.</v>
      </c>
      <c r="C194" s="343" t="str">
        <f>C158</f>
        <v>Počty zaměstnanců</v>
      </c>
      <c r="D194" s="349"/>
      <c r="E194" s="2300">
        <f t="shared" ref="E194:S194" si="85">E158</f>
        <v>2036</v>
      </c>
      <c r="F194" s="2302">
        <f t="shared" si="85"/>
        <v>2037</v>
      </c>
      <c r="G194" s="2302">
        <f t="shared" si="85"/>
        <v>2038</v>
      </c>
      <c r="H194" s="2302">
        <f t="shared" si="85"/>
        <v>2039</v>
      </c>
      <c r="I194" s="2302">
        <f t="shared" si="85"/>
        <v>2040</v>
      </c>
      <c r="J194" s="2302">
        <f t="shared" si="85"/>
        <v>2041</v>
      </c>
      <c r="K194" s="2302">
        <f t="shared" si="85"/>
        <v>2042</v>
      </c>
      <c r="L194" s="2302">
        <f t="shared" si="85"/>
        <v>2043</v>
      </c>
      <c r="M194" s="2302">
        <f t="shared" si="85"/>
        <v>2044</v>
      </c>
      <c r="N194" s="2302">
        <f t="shared" si="85"/>
        <v>2045</v>
      </c>
      <c r="O194" s="2302">
        <f t="shared" si="85"/>
        <v>2046</v>
      </c>
      <c r="P194" s="2302">
        <f t="shared" si="85"/>
        <v>2047</v>
      </c>
      <c r="Q194" s="2302">
        <f t="shared" si="85"/>
        <v>2048</v>
      </c>
      <c r="R194" s="2302">
        <f t="shared" si="85"/>
        <v>2049</v>
      </c>
      <c r="S194" s="2307">
        <f t="shared" si="85"/>
        <v>2050</v>
      </c>
    </row>
    <row r="195" spans="2:20" ht="15" thickBot="1" x14ac:dyDescent="0.35">
      <c r="B195" s="345" t="s">
        <v>24</v>
      </c>
      <c r="C195" s="346" t="str">
        <f>C177</f>
        <v>Scénář bez projektu</v>
      </c>
      <c r="D195" s="350"/>
      <c r="E195" s="2301">
        <v>1</v>
      </c>
      <c r="F195" s="2303">
        <v>2</v>
      </c>
      <c r="G195" s="2303">
        <v>3</v>
      </c>
      <c r="H195" s="2303">
        <v>4</v>
      </c>
      <c r="I195" s="2303">
        <v>5</v>
      </c>
      <c r="J195" s="2303">
        <v>6</v>
      </c>
      <c r="K195" s="2303">
        <v>7</v>
      </c>
      <c r="L195" s="2303">
        <v>8</v>
      </c>
      <c r="M195" s="2303">
        <v>9</v>
      </c>
      <c r="N195" s="2303">
        <v>10</v>
      </c>
      <c r="O195" s="2303">
        <v>11</v>
      </c>
      <c r="P195" s="2303">
        <v>12</v>
      </c>
      <c r="Q195" s="2303">
        <v>13</v>
      </c>
      <c r="R195" s="2303">
        <v>14</v>
      </c>
      <c r="S195" s="2308">
        <v>15</v>
      </c>
    </row>
    <row r="196" spans="2:20" ht="14.25" x14ac:dyDescent="0.3">
      <c r="B196" s="461"/>
      <c r="C196" s="462" t="str">
        <f t="shared" ref="C196:C208" si="86">C178</f>
        <v>Dozorčí provozu</v>
      </c>
      <c r="D196" s="463"/>
      <c r="E196" s="352"/>
      <c r="F196" s="352"/>
      <c r="G196" s="352"/>
      <c r="H196" s="352"/>
      <c r="I196" s="352"/>
      <c r="J196" s="352"/>
      <c r="K196" s="352"/>
      <c r="L196" s="352"/>
      <c r="M196" s="352"/>
      <c r="N196" s="352"/>
      <c r="O196" s="352"/>
      <c r="P196" s="352"/>
      <c r="Q196" s="352"/>
      <c r="R196" s="352"/>
      <c r="S196" s="352"/>
      <c r="T196" s="1938"/>
    </row>
    <row r="197" spans="2:20" ht="14.25" x14ac:dyDescent="0.3">
      <c r="B197" s="464"/>
      <c r="C197" s="465" t="str">
        <f t="shared" si="86"/>
        <v>Výpravčí</v>
      </c>
      <c r="D197" s="466"/>
      <c r="E197" s="2173">
        <v>6.7842943108115037</v>
      </c>
      <c r="F197" s="2174">
        <v>6.7842943108115037</v>
      </c>
      <c r="G197" s="2174">
        <v>6.7842943108115037</v>
      </c>
      <c r="H197" s="2174">
        <v>6.7842943108115037</v>
      </c>
      <c r="I197" s="2174">
        <v>6.7842943108115037</v>
      </c>
      <c r="J197" s="2174">
        <v>6.7842943108115037</v>
      </c>
      <c r="K197" s="2174">
        <v>6.7842943108115037</v>
      </c>
      <c r="L197" s="2174">
        <v>6.7842943108115037</v>
      </c>
      <c r="M197" s="2174">
        <v>6.7842943108115037</v>
      </c>
      <c r="N197" s="2174">
        <v>6.7842943108115037</v>
      </c>
      <c r="O197" s="2174">
        <v>6.7842943108115037</v>
      </c>
      <c r="P197" s="2174">
        <v>6.7842943108115037</v>
      </c>
      <c r="Q197" s="2174">
        <v>6.7842943108115037</v>
      </c>
      <c r="R197" s="2174">
        <v>6.7842943108115037</v>
      </c>
      <c r="S197" s="2175">
        <v>6.7842943108115037</v>
      </c>
      <c r="T197" s="1938"/>
    </row>
    <row r="198" spans="2:20" ht="14.25" x14ac:dyDescent="0.3">
      <c r="B198" s="464"/>
      <c r="C198" s="465" t="str">
        <f t="shared" si="86"/>
        <v>Dozorčí provozu – vedoucí směny</v>
      </c>
      <c r="D198" s="466"/>
      <c r="E198" s="352"/>
      <c r="F198" s="352"/>
      <c r="G198" s="352"/>
      <c r="H198" s="352"/>
      <c r="I198" s="352"/>
      <c r="J198" s="352"/>
      <c r="K198" s="352"/>
      <c r="L198" s="352"/>
      <c r="M198" s="352"/>
      <c r="N198" s="352"/>
      <c r="O198" s="352"/>
      <c r="P198" s="352"/>
      <c r="Q198" s="352"/>
      <c r="R198" s="352"/>
      <c r="S198" s="352"/>
      <c r="T198" s="1938"/>
    </row>
    <row r="199" spans="2:20" ht="14.25" x14ac:dyDescent="0.3">
      <c r="B199" s="464"/>
      <c r="C199" s="465" t="str">
        <f t="shared" si="86"/>
        <v>Operátor železniční dopravy</v>
      </c>
      <c r="D199" s="466"/>
      <c r="E199" s="352"/>
      <c r="F199" s="352"/>
      <c r="G199" s="352"/>
      <c r="H199" s="352"/>
      <c r="I199" s="352"/>
      <c r="J199" s="352"/>
      <c r="K199" s="352"/>
      <c r="L199" s="352"/>
      <c r="M199" s="352"/>
      <c r="N199" s="352"/>
      <c r="O199" s="352"/>
      <c r="P199" s="352"/>
      <c r="Q199" s="352"/>
      <c r="R199" s="352"/>
      <c r="S199" s="352"/>
      <c r="T199" s="1938"/>
    </row>
    <row r="200" spans="2:20" ht="14.25" x14ac:dyDescent="0.3">
      <c r="B200" s="464"/>
      <c r="C200" s="465" t="str">
        <f t="shared" si="86"/>
        <v>Signalista</v>
      </c>
      <c r="D200" s="466"/>
      <c r="E200" s="352"/>
      <c r="F200" s="352"/>
      <c r="G200" s="352"/>
      <c r="H200" s="352"/>
      <c r="I200" s="352"/>
      <c r="J200" s="352"/>
      <c r="K200" s="352"/>
      <c r="L200" s="352"/>
      <c r="M200" s="352"/>
      <c r="N200" s="352"/>
      <c r="O200" s="352"/>
      <c r="P200" s="352"/>
      <c r="Q200" s="352"/>
      <c r="R200" s="352"/>
      <c r="S200" s="352"/>
      <c r="T200" s="1938"/>
    </row>
    <row r="201" spans="2:20" ht="14.25" x14ac:dyDescent="0.3">
      <c r="B201" s="464"/>
      <c r="C201" s="465" t="str">
        <f t="shared" si="86"/>
        <v>Výhybkář</v>
      </c>
      <c r="D201" s="466"/>
      <c r="E201" s="352"/>
      <c r="F201" s="352"/>
      <c r="G201" s="352"/>
      <c r="H201" s="352"/>
      <c r="I201" s="352"/>
      <c r="J201" s="352"/>
      <c r="K201" s="352"/>
      <c r="L201" s="352"/>
      <c r="M201" s="352"/>
      <c r="N201" s="352"/>
      <c r="O201" s="352"/>
      <c r="P201" s="352"/>
      <c r="Q201" s="352"/>
      <c r="R201" s="352"/>
      <c r="S201" s="352"/>
      <c r="T201" s="1938"/>
    </row>
    <row r="202" spans="2:20" ht="14.25" x14ac:dyDescent="0.3">
      <c r="B202" s="464"/>
      <c r="C202" s="465" t="str">
        <f t="shared" si="86"/>
        <v>Staniční dozorce</v>
      </c>
      <c r="D202" s="466"/>
      <c r="E202" s="352"/>
      <c r="F202" s="352"/>
      <c r="G202" s="352"/>
      <c r="H202" s="352"/>
      <c r="I202" s="352"/>
      <c r="J202" s="352"/>
      <c r="K202" s="352"/>
      <c r="L202" s="352"/>
      <c r="M202" s="352"/>
      <c r="N202" s="352"/>
      <c r="O202" s="352"/>
      <c r="P202" s="352"/>
      <c r="Q202" s="352"/>
      <c r="R202" s="352"/>
      <c r="S202" s="352"/>
      <c r="T202" s="1938"/>
    </row>
    <row r="203" spans="2:20" ht="14.25" x14ac:dyDescent="0.3">
      <c r="B203" s="464"/>
      <c r="C203" s="465" t="str">
        <f t="shared" si="86"/>
        <v>Dozorce výhybek</v>
      </c>
      <c r="D203" s="466"/>
      <c r="E203" s="352"/>
      <c r="F203" s="352"/>
      <c r="G203" s="352"/>
      <c r="H203" s="352"/>
      <c r="I203" s="352"/>
      <c r="J203" s="352"/>
      <c r="K203" s="352"/>
      <c r="L203" s="352"/>
      <c r="M203" s="352"/>
      <c r="N203" s="352"/>
      <c r="O203" s="352"/>
      <c r="P203" s="352"/>
      <c r="Q203" s="352"/>
      <c r="R203" s="352"/>
      <c r="S203" s="352"/>
      <c r="T203" s="1938"/>
    </row>
    <row r="204" spans="2:20" ht="14.25" x14ac:dyDescent="0.3">
      <c r="B204" s="464"/>
      <c r="C204" s="465" t="str">
        <f t="shared" si="86"/>
        <v>Závorář</v>
      </c>
      <c r="D204" s="466"/>
      <c r="E204" s="352"/>
      <c r="F204" s="352"/>
      <c r="G204" s="352"/>
      <c r="H204" s="352"/>
      <c r="I204" s="352"/>
      <c r="J204" s="352"/>
      <c r="K204" s="352"/>
      <c r="L204" s="352"/>
      <c r="M204" s="352"/>
      <c r="N204" s="352"/>
      <c r="O204" s="352"/>
      <c r="P204" s="352"/>
      <c r="Q204" s="352"/>
      <c r="R204" s="352"/>
      <c r="S204" s="352"/>
      <c r="T204" s="1938"/>
    </row>
    <row r="205" spans="2:20" ht="14.25" x14ac:dyDescent="0.3">
      <c r="B205" s="464"/>
      <c r="C205" s="467" t="str">
        <f t="shared" si="86"/>
        <v>Závorář s prodejem jízdenek</v>
      </c>
      <c r="D205" s="466"/>
      <c r="E205" s="352"/>
      <c r="F205" s="352"/>
      <c r="G205" s="352"/>
      <c r="H205" s="352"/>
      <c r="I205" s="352"/>
      <c r="J205" s="352"/>
      <c r="K205" s="352"/>
      <c r="L205" s="352"/>
      <c r="M205" s="352"/>
      <c r="N205" s="352"/>
      <c r="O205" s="352"/>
      <c r="P205" s="352"/>
      <c r="Q205" s="352"/>
      <c r="R205" s="352"/>
      <c r="S205" s="352"/>
      <c r="T205" s="1938"/>
    </row>
    <row r="206" spans="2:20" ht="14.25" x14ac:dyDescent="0.3">
      <c r="B206" s="464"/>
      <c r="C206" s="468" t="str">
        <f t="shared" si="86"/>
        <v>Hradlář – hláskař</v>
      </c>
      <c r="D206" s="466"/>
      <c r="E206" s="352"/>
      <c r="F206" s="352"/>
      <c r="G206" s="352"/>
      <c r="H206" s="352"/>
      <c r="I206" s="352"/>
      <c r="J206" s="352"/>
      <c r="K206" s="352"/>
      <c r="L206" s="352"/>
      <c r="M206" s="352"/>
      <c r="N206" s="352"/>
      <c r="O206" s="352"/>
      <c r="P206" s="352"/>
      <c r="Q206" s="352"/>
      <c r="R206" s="352"/>
      <c r="S206" s="352"/>
      <c r="T206" s="1938"/>
    </row>
    <row r="207" spans="2:20" ht="14.25" x14ac:dyDescent="0.3">
      <c r="B207" s="475"/>
      <c r="C207" s="468" t="str">
        <f t="shared" si="86"/>
        <v>Hradlář – hláskař s prodejem jízdenek</v>
      </c>
      <c r="D207" s="466"/>
      <c r="E207" s="352"/>
      <c r="F207" s="352"/>
      <c r="G207" s="352"/>
      <c r="H207" s="352"/>
      <c r="I207" s="352"/>
      <c r="J207" s="352"/>
      <c r="K207" s="352"/>
      <c r="L207" s="352"/>
      <c r="M207" s="352"/>
      <c r="N207" s="352"/>
      <c r="O207" s="352"/>
      <c r="P207" s="352"/>
      <c r="Q207" s="352"/>
      <c r="R207" s="352"/>
      <c r="S207" s="352"/>
      <c r="T207" s="1938"/>
    </row>
    <row r="208" spans="2:20" ht="14.25" x14ac:dyDescent="0.3">
      <c r="B208" s="469"/>
      <c r="C208" s="472" t="str">
        <f t="shared" si="86"/>
        <v>Dělník v dopravě – staniční dělník</v>
      </c>
      <c r="D208" s="1948"/>
      <c r="E208" s="352"/>
      <c r="F208" s="352"/>
      <c r="G208" s="352"/>
      <c r="H208" s="352"/>
      <c r="I208" s="352"/>
      <c r="J208" s="352"/>
      <c r="K208" s="352"/>
      <c r="L208" s="352"/>
      <c r="M208" s="352"/>
      <c r="N208" s="352"/>
      <c r="O208" s="352"/>
      <c r="P208" s="352"/>
      <c r="Q208" s="352"/>
      <c r="R208" s="352"/>
      <c r="S208" s="352"/>
      <c r="T208" s="1938"/>
    </row>
    <row r="209" spans="2:29" ht="15" thickBot="1" x14ac:dyDescent="0.35">
      <c r="B209" s="418"/>
      <c r="C209" s="419" t="str">
        <f>C191</f>
        <v>Celkem</v>
      </c>
      <c r="D209" s="1949"/>
      <c r="E209" s="420">
        <f>SUM(E196:E208)</f>
        <v>6.7842943108115037</v>
      </c>
      <c r="F209" s="1952">
        <f t="shared" ref="F209:S209" si="87">SUM(F196:F208)</f>
        <v>6.7842943108115037</v>
      </c>
      <c r="G209" s="1952">
        <f t="shared" si="87"/>
        <v>6.7842943108115037</v>
      </c>
      <c r="H209" s="1952">
        <f t="shared" si="87"/>
        <v>6.7842943108115037</v>
      </c>
      <c r="I209" s="1952">
        <f t="shared" si="87"/>
        <v>6.7842943108115037</v>
      </c>
      <c r="J209" s="1952">
        <f t="shared" si="87"/>
        <v>6.7842943108115037</v>
      </c>
      <c r="K209" s="1952">
        <f t="shared" si="87"/>
        <v>6.7842943108115037</v>
      </c>
      <c r="L209" s="1952">
        <f t="shared" si="87"/>
        <v>6.7842943108115037</v>
      </c>
      <c r="M209" s="1952">
        <f t="shared" si="87"/>
        <v>6.7842943108115037</v>
      </c>
      <c r="N209" s="1952">
        <f t="shared" si="87"/>
        <v>6.7842943108115037</v>
      </c>
      <c r="O209" s="1952">
        <f t="shared" si="87"/>
        <v>6.7842943108115037</v>
      </c>
      <c r="P209" s="1952">
        <f t="shared" si="87"/>
        <v>6.7842943108115037</v>
      </c>
      <c r="Q209" s="1952">
        <f t="shared" si="87"/>
        <v>6.7842943108115037</v>
      </c>
      <c r="R209" s="1952">
        <f t="shared" si="87"/>
        <v>6.7842943108115037</v>
      </c>
      <c r="S209" s="1953">
        <f t="shared" si="87"/>
        <v>6.7842943108115037</v>
      </c>
      <c r="T209" s="1938"/>
    </row>
    <row r="210" spans="2:29" ht="15" thickBot="1" x14ac:dyDescent="0.35">
      <c r="B210" s="473"/>
      <c r="C210" s="474" t="str">
        <f>C192</f>
        <v>Odstupné</v>
      </c>
      <c r="D210" s="1945"/>
      <c r="E210" s="1954">
        <f>SUMPRODUCT($E$91:$E$103*(E$125/$D$91)/4,E196:E208-F196:F208)</f>
        <v>0</v>
      </c>
      <c r="F210" s="1955">
        <f t="shared" ref="F210:R210" si="88">SUMPRODUCT($E$91:$E$103*(F$125/$D$91)/4,F196:F208-G196:G208)</f>
        <v>0</v>
      </c>
      <c r="G210" s="1955">
        <f t="shared" si="88"/>
        <v>0</v>
      </c>
      <c r="H210" s="1955">
        <f t="shared" si="88"/>
        <v>0</v>
      </c>
      <c r="I210" s="1955">
        <f t="shared" si="88"/>
        <v>0</v>
      </c>
      <c r="J210" s="1955">
        <f t="shared" si="88"/>
        <v>0</v>
      </c>
      <c r="K210" s="1955">
        <f t="shared" si="88"/>
        <v>0</v>
      </c>
      <c r="L210" s="1955">
        <f t="shared" si="88"/>
        <v>0</v>
      </c>
      <c r="M210" s="1955">
        <f t="shared" si="88"/>
        <v>0</v>
      </c>
      <c r="N210" s="1955">
        <f t="shared" si="88"/>
        <v>0</v>
      </c>
      <c r="O210" s="1955">
        <f t="shared" si="88"/>
        <v>0</v>
      </c>
      <c r="P210" s="1955">
        <f t="shared" si="88"/>
        <v>0</v>
      </c>
      <c r="Q210" s="1955">
        <f t="shared" si="88"/>
        <v>0</v>
      </c>
      <c r="R210" s="1955">
        <f t="shared" si="88"/>
        <v>0</v>
      </c>
      <c r="S210" s="1956">
        <v>0</v>
      </c>
      <c r="T210" s="1938"/>
    </row>
    <row r="211" spans="2:29" ht="14.25" x14ac:dyDescent="0.3">
      <c r="B211" s="351"/>
      <c r="C211" s="476"/>
      <c r="D211" s="305"/>
      <c r="E211" s="329"/>
      <c r="F211" s="329"/>
      <c r="G211" s="329"/>
      <c r="H211" s="329"/>
      <c r="I211" s="329"/>
      <c r="J211" s="329"/>
      <c r="K211" s="329"/>
      <c r="L211" s="329"/>
      <c r="M211" s="329"/>
      <c r="N211" s="329"/>
      <c r="O211" s="329"/>
      <c r="P211" s="329"/>
      <c r="Q211" s="329"/>
      <c r="R211" s="305"/>
      <c r="S211" s="305"/>
      <c r="T211" s="476"/>
      <c r="U211" s="476"/>
      <c r="V211" s="476"/>
      <c r="W211" s="476"/>
      <c r="X211" s="476"/>
      <c r="Y211" s="476"/>
      <c r="Z211" s="476"/>
      <c r="AA211" s="476"/>
      <c r="AB211" s="476"/>
      <c r="AC211" s="476"/>
    </row>
    <row r="212" spans="2:29" ht="14.25" thickBot="1" x14ac:dyDescent="0.35"/>
    <row r="213" spans="2:29" ht="10.15" customHeight="1" x14ac:dyDescent="0.3">
      <c r="B213" s="2286" t="str">
        <f>IF('0 Úvod'!$M$10="English",Slovnik!$D$164,Slovnik!$C$164)</f>
        <v>Komentáře</v>
      </c>
      <c r="C213" s="2287"/>
      <c r="D213" s="2287"/>
      <c r="E213" s="2287"/>
      <c r="F213" s="2287"/>
      <c r="G213" s="2287"/>
      <c r="H213" s="2287"/>
      <c r="I213" s="2287"/>
      <c r="J213" s="2287"/>
      <c r="K213" s="2287"/>
      <c r="L213" s="2287"/>
      <c r="M213" s="2287"/>
      <c r="N213" s="2287"/>
      <c r="O213" s="2287"/>
      <c r="P213" s="2287"/>
      <c r="Q213" s="2287"/>
      <c r="R213" s="2288"/>
      <c r="S213" s="2289"/>
    </row>
    <row r="214" spans="2:29" ht="10.9" customHeight="1" thickBot="1" x14ac:dyDescent="0.35">
      <c r="B214" s="2290"/>
      <c r="C214" s="2291"/>
      <c r="D214" s="2291"/>
      <c r="E214" s="2291"/>
      <c r="F214" s="2291"/>
      <c r="G214" s="2291"/>
      <c r="H214" s="2291"/>
      <c r="I214" s="2291"/>
      <c r="J214" s="2291"/>
      <c r="K214" s="2291"/>
      <c r="L214" s="2291"/>
      <c r="M214" s="2291"/>
      <c r="N214" s="2291"/>
      <c r="O214" s="2291"/>
      <c r="P214" s="2291"/>
      <c r="Q214" s="2291"/>
      <c r="R214" s="2292"/>
      <c r="S214" s="2293"/>
    </row>
    <row r="215" spans="2:29" ht="30" customHeight="1" thickBot="1" x14ac:dyDescent="0.35">
      <c r="B215" s="2294" t="str">
        <f>IF('0 Úvod'!$M$10="English",Slovnik!$E$159,Slovnik!$E$158)</f>
        <v>V tabulkách 3.1 a 3.2 zpracovatel přímo dopočítává a vyplňuje pouze provozní náklady na údržbu a opravy předmětné infrastruktury. Podrobněji k jednotlivým modům viz kapitola 8.1.4, 8.1.5 a 8.1.6. resp. příslušná příloha materiálu Rezortní metodika pro hodnocení ekonomické efektivnosti projektů dopravních staveb (MD ČR, 2017).</v>
      </c>
      <c r="C215" s="2295"/>
      <c r="D215" s="2295"/>
      <c r="E215" s="2295"/>
      <c r="F215" s="2295"/>
      <c r="G215" s="2295"/>
      <c r="H215" s="2295"/>
      <c r="I215" s="2295"/>
      <c r="J215" s="2295"/>
      <c r="K215" s="2295"/>
      <c r="L215" s="2295"/>
      <c r="M215" s="2295"/>
      <c r="N215" s="2295"/>
      <c r="O215" s="2295"/>
      <c r="P215" s="2295"/>
      <c r="Q215" s="2295"/>
      <c r="R215" s="2295"/>
      <c r="S215" s="2296"/>
    </row>
    <row r="216" spans="2:29" ht="42.75" customHeight="1" thickBot="1" x14ac:dyDescent="0.35">
      <c r="B216" s="2297" t="str">
        <f>IF('0 Úvod'!$M$10="English",Slovnik!$E$162,Slovnik!$E$161)</f>
        <v>Pro vyčíslení provozních nákladů na řízení dopravy v železniční dopravě se využije přednastavených vzorců v tabulkách 3.1, 3.2 a 3.5. Zpracovatel vyplňuje pouze tabulky 3.6 a 3.7 a ověřuje správnost výpočtu odstupného. V rámci silniční a vodní dopravy neprobíhá řízení dopravy samotné, ale je realizován dohled na provoz. Tyto provozní náklady jsou v rámci sítě fixní a při realizaci nových infrastrukturních projektů nedochází k jejich změně. Do výpočtu tedy nevstupují.</v>
      </c>
      <c r="C216" s="2295"/>
      <c r="D216" s="2295"/>
      <c r="E216" s="2295"/>
      <c r="F216" s="2295"/>
      <c r="G216" s="2295"/>
      <c r="H216" s="2295"/>
      <c r="I216" s="2295"/>
      <c r="J216" s="2295"/>
      <c r="K216" s="2295"/>
      <c r="L216" s="2295"/>
      <c r="M216" s="2295"/>
      <c r="N216" s="2295"/>
      <c r="O216" s="2295"/>
      <c r="P216" s="2295"/>
      <c r="Q216" s="2295"/>
      <c r="R216" s="2295"/>
      <c r="S216" s="2296"/>
    </row>
    <row r="220" spans="2:29" ht="16.5" x14ac:dyDescent="0.3">
      <c r="C220" s="1957"/>
    </row>
    <row r="221" spans="2:29" ht="16.5" x14ac:dyDescent="0.3">
      <c r="C221" s="1957"/>
    </row>
    <row r="222" spans="2:29" ht="16.5" x14ac:dyDescent="0.3">
      <c r="C222" s="1957"/>
    </row>
  </sheetData>
  <sheetProtection algorithmName="SHA-512" hashValue="NKIenl39Yv5bKuAGPg04QK6yrOuBc7EFF9FE+YH4ut1S+aJiXhsD5OqJC7rcyWfK3m+gEqIAgPcNE0NhAQIj9Q==" saltValue="v8UmbphMPb5dRWfjfFQ9wQ==" spinCount="100000" sheet="1" formatCells="0" formatColumns="0" formatRows="0" insertColumns="0" insertRows="0" insertHyperlinks="0" deleteColumns="0" deleteRows="0" sort="0" autoFilter="0" pivotTables="0"/>
  <mergeCells count="184">
    <mergeCell ref="E140:E141"/>
    <mergeCell ref="F140:F141"/>
    <mergeCell ref="G140:G141"/>
    <mergeCell ref="B88:B90"/>
    <mergeCell ref="R29:R30"/>
    <mergeCell ref="M29:M30"/>
    <mergeCell ref="L56:L57"/>
    <mergeCell ref="I29:I30"/>
    <mergeCell ref="J29:J30"/>
    <mergeCell ref="K29:K30"/>
    <mergeCell ref="L29:L30"/>
    <mergeCell ref="M56:M57"/>
    <mergeCell ref="H42:H43"/>
    <mergeCell ref="E69:E70"/>
    <mergeCell ref="F69:F70"/>
    <mergeCell ref="P29:P30"/>
    <mergeCell ref="K69:K70"/>
    <mergeCell ref="R42:R43"/>
    <mergeCell ref="O42:O43"/>
    <mergeCell ref="P42:P43"/>
    <mergeCell ref="Q29:Q30"/>
    <mergeCell ref="Q56:Q57"/>
    <mergeCell ref="R56:R57"/>
    <mergeCell ref="G105:G106"/>
    <mergeCell ref="S56:S57"/>
    <mergeCell ref="R15:R16"/>
    <mergeCell ref="P15:P16"/>
    <mergeCell ref="O15:O16"/>
    <mergeCell ref="O69:O70"/>
    <mergeCell ref="P69:P70"/>
    <mergeCell ref="Q42:Q43"/>
    <mergeCell ref="S29:S30"/>
    <mergeCell ref="H2:H3"/>
    <mergeCell ref="L15:L16"/>
    <mergeCell ref="N56:N57"/>
    <mergeCell ref="O56:O57"/>
    <mergeCell ref="N29:N30"/>
    <mergeCell ref="O29:O30"/>
    <mergeCell ref="P56:P57"/>
    <mergeCell ref="L42:L43"/>
    <mergeCell ref="M42:M43"/>
    <mergeCell ref="N42:N43"/>
    <mergeCell ref="J2:J3"/>
    <mergeCell ref="K2:K3"/>
    <mergeCell ref="L2:L3"/>
    <mergeCell ref="J15:J16"/>
    <mergeCell ref="S15:S16"/>
    <mergeCell ref="N2:N3"/>
    <mergeCell ref="I2:I3"/>
    <mergeCell ref="K158:K159"/>
    <mergeCell ref="L158:L159"/>
    <mergeCell ref="H15:H16"/>
    <mergeCell ref="I42:I43"/>
    <mergeCell ref="H69:H70"/>
    <mergeCell ref="I56:I57"/>
    <mergeCell ref="H29:H30"/>
    <mergeCell ref="H56:H57"/>
    <mergeCell ref="I69:I70"/>
    <mergeCell ref="I15:I16"/>
    <mergeCell ref="H140:H141"/>
    <mergeCell ref="K56:K57"/>
    <mergeCell ref="J56:J57"/>
    <mergeCell ref="K15:K16"/>
    <mergeCell ref="I140:I141"/>
    <mergeCell ref="K140:K141"/>
    <mergeCell ref="L122:L123"/>
    <mergeCell ref="H105:H106"/>
    <mergeCell ref="M15:M16"/>
    <mergeCell ref="N15:N16"/>
    <mergeCell ref="J42:J43"/>
    <mergeCell ref="N69:N70"/>
    <mergeCell ref="J69:J70"/>
    <mergeCell ref="M158:M159"/>
    <mergeCell ref="N158:N159"/>
    <mergeCell ref="S2:S3"/>
    <mergeCell ref="S122:S123"/>
    <mergeCell ref="O122:O123"/>
    <mergeCell ref="S140:S141"/>
    <mergeCell ref="R140:R141"/>
    <mergeCell ref="O140:O141"/>
    <mergeCell ref="P140:P141"/>
    <mergeCell ref="Q140:Q141"/>
    <mergeCell ref="R2:R3"/>
    <mergeCell ref="Q69:Q70"/>
    <mergeCell ref="R69:R70"/>
    <mergeCell ref="O2:O3"/>
    <mergeCell ref="P2:P3"/>
    <mergeCell ref="Q2:Q3"/>
    <mergeCell ref="Q158:Q159"/>
    <mergeCell ref="Q15:Q16"/>
    <mergeCell ref="J140:J141"/>
    <mergeCell ref="G69:G70"/>
    <mergeCell ref="S105:S106"/>
    <mergeCell ref="S42:S43"/>
    <mergeCell ref="S69:S70"/>
    <mergeCell ref="E42:E43"/>
    <mergeCell ref="E2:E3"/>
    <mergeCell ref="F2:F3"/>
    <mergeCell ref="G42:G43"/>
    <mergeCell ref="E56:E57"/>
    <mergeCell ref="G56:G57"/>
    <mergeCell ref="E15:E16"/>
    <mergeCell ref="G29:G30"/>
    <mergeCell ref="F15:F16"/>
    <mergeCell ref="E29:E30"/>
    <mergeCell ref="F42:F43"/>
    <mergeCell ref="F56:F57"/>
    <mergeCell ref="F29:F30"/>
    <mergeCell ref="G2:G3"/>
    <mergeCell ref="G15:G16"/>
    <mergeCell ref="M2:M3"/>
    <mergeCell ref="L69:L70"/>
    <mergeCell ref="M69:M70"/>
    <mergeCell ref="K42:K43"/>
    <mergeCell ref="Q105:Q106"/>
    <mergeCell ref="N122:N123"/>
    <mergeCell ref="M105:M106"/>
    <mergeCell ref="N105:N106"/>
    <mergeCell ref="J105:J106"/>
    <mergeCell ref="J122:J123"/>
    <mergeCell ref="K122:K123"/>
    <mergeCell ref="M140:M141"/>
    <mergeCell ref="N140:N141"/>
    <mergeCell ref="M176:M177"/>
    <mergeCell ref="N176:N177"/>
    <mergeCell ref="L140:L141"/>
    <mergeCell ref="E158:E159"/>
    <mergeCell ref="F158:F159"/>
    <mergeCell ref="G158:G159"/>
    <mergeCell ref="P194:P195"/>
    <mergeCell ref="Q194:Q195"/>
    <mergeCell ref="R194:R195"/>
    <mergeCell ref="I194:I195"/>
    <mergeCell ref="J194:J195"/>
    <mergeCell ref="K194:K195"/>
    <mergeCell ref="L194:L195"/>
    <mergeCell ref="Q176:Q177"/>
    <mergeCell ref="M194:M195"/>
    <mergeCell ref="E176:E177"/>
    <mergeCell ref="F176:F177"/>
    <mergeCell ref="G176:G177"/>
    <mergeCell ref="H176:H177"/>
    <mergeCell ref="I176:I177"/>
    <mergeCell ref="J176:J177"/>
    <mergeCell ref="P176:P177"/>
    <mergeCell ref="H158:H159"/>
    <mergeCell ref="I158:I159"/>
    <mergeCell ref="O158:O159"/>
    <mergeCell ref="S194:S195"/>
    <mergeCell ref="R176:R177"/>
    <mergeCell ref="N194:N195"/>
    <mergeCell ref="O194:O195"/>
    <mergeCell ref="L176:L177"/>
    <mergeCell ref="H194:H195"/>
    <mergeCell ref="K176:K177"/>
    <mergeCell ref="J158:J159"/>
    <mergeCell ref="P158:P159"/>
    <mergeCell ref="O176:O177"/>
    <mergeCell ref="S176:S177"/>
    <mergeCell ref="S158:S159"/>
    <mergeCell ref="B213:S214"/>
    <mergeCell ref="B215:S215"/>
    <mergeCell ref="B216:S216"/>
    <mergeCell ref="R122:R123"/>
    <mergeCell ref="P122:P123"/>
    <mergeCell ref="R105:R106"/>
    <mergeCell ref="F105:F106"/>
    <mergeCell ref="E194:E195"/>
    <mergeCell ref="F194:F195"/>
    <mergeCell ref="G194:G195"/>
    <mergeCell ref="E122:E123"/>
    <mergeCell ref="F122:F123"/>
    <mergeCell ref="G122:G123"/>
    <mergeCell ref="H122:H123"/>
    <mergeCell ref="E105:E106"/>
    <mergeCell ref="K105:K106"/>
    <mergeCell ref="L105:L106"/>
    <mergeCell ref="I122:I123"/>
    <mergeCell ref="I105:I106"/>
    <mergeCell ref="M122:M123"/>
    <mergeCell ref="O105:O106"/>
    <mergeCell ref="P105:P106"/>
    <mergeCell ref="Q122:Q123"/>
    <mergeCell ref="R158:R159"/>
  </mergeCells>
  <phoneticPr fontId="0" type="noConversion"/>
  <pageMargins left="0.39370078740157483" right="0.35433070866141736" top="0.98425196850393704" bottom="0.78740157480314965" header="0.39370078740157483" footer="0.39370078740157483"/>
  <pageSetup paperSize="9" scale="56" fitToHeight="0" orientation="landscape" r:id="rId1"/>
  <headerFooter alignWithMargins="0">
    <oddFooter>&amp;L&amp;A&amp;C&amp;D</oddFooter>
  </headerFooter>
  <ignoredErrors>
    <ignoredError sqref="D14:H14 D27:H29 D19 D17 E175:AC175 E192:R192 D16:H16 D15 F15:H15 E157:S160 E174:R174 E176:S178 E162:S173 E181:S190 E180:R180 E156:R156 D26 E30:H30" unlockedFormula="1"/>
    <ignoredError sqref="D193:D206 D53:D56 D84:D85 D41:D46 D208:D209" evalError="1"/>
    <ignoredError sqref="E191:S191 E193:S196 E208:S208 E198:S206" evalError="1" unlockedFormula="1"/>
    <ignoredError sqref="E209:S209 E210:S210" formulaRange="1" unlockedFormula="1"/>
    <ignoredError sqref="E46:S46" formulaRange="1"/>
    <ignoredError sqref="E61:S74" 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39">
    <pageSetUpPr fitToPage="1"/>
  </sheetPr>
  <dimension ref="A1:AM138"/>
  <sheetViews>
    <sheetView defaultGridColor="0" colorId="23" zoomScale="80" zoomScaleNormal="80" workbookViewId="0"/>
  </sheetViews>
  <sheetFormatPr defaultColWidth="9.140625" defaultRowHeight="13.5" x14ac:dyDescent="0.3"/>
  <cols>
    <col min="1" max="1" width="2.7109375" style="479" customWidth="1"/>
    <col min="2" max="2" width="6.7109375" style="479" customWidth="1"/>
    <col min="3" max="3" width="46.85546875" style="479" customWidth="1"/>
    <col min="4" max="4" width="12.7109375" style="479" customWidth="1"/>
    <col min="5" max="5" width="11.85546875" style="479" customWidth="1"/>
    <col min="6" max="17" width="10.7109375" style="479" customWidth="1"/>
    <col min="18" max="29" width="10.42578125" style="479" customWidth="1"/>
    <col min="30" max="34" width="8.7109375" style="479" bestFit="1" customWidth="1"/>
    <col min="35" max="35" width="10.42578125" style="479" bestFit="1" customWidth="1"/>
    <col min="36" max="16384" width="9.140625" style="479"/>
  </cols>
  <sheetData>
    <row r="1" spans="1:35" ht="14.25" thickBot="1" x14ac:dyDescent="0.35">
      <c r="E1" s="480"/>
    </row>
    <row r="2" spans="1:35" ht="14.25" x14ac:dyDescent="0.3">
      <c r="A2" s="481"/>
      <c r="B2" s="509" t="s">
        <v>27</v>
      </c>
      <c r="C2" s="510" t="str">
        <f>IF('0 Úvod'!$M$10="English",Slovnik!D166,Slovnik!C166)</f>
        <v>Celkové provozní náklady (CZK)</v>
      </c>
      <c r="D2" s="511"/>
      <c r="E2" s="2334">
        <f>'1 CIN'!G3</f>
        <v>2021</v>
      </c>
      <c r="F2" s="2336">
        <f t="shared" ref="F2:S2" si="0">E2+1</f>
        <v>2022</v>
      </c>
      <c r="G2" s="2336">
        <f t="shared" si="0"/>
        <v>2023</v>
      </c>
      <c r="H2" s="2336">
        <f t="shared" si="0"/>
        <v>2024</v>
      </c>
      <c r="I2" s="2336">
        <f t="shared" si="0"/>
        <v>2025</v>
      </c>
      <c r="J2" s="2336">
        <f t="shared" si="0"/>
        <v>2026</v>
      </c>
      <c r="K2" s="2336">
        <f t="shared" si="0"/>
        <v>2027</v>
      </c>
      <c r="L2" s="2336">
        <f t="shared" si="0"/>
        <v>2028</v>
      </c>
      <c r="M2" s="2336">
        <f t="shared" si="0"/>
        <v>2029</v>
      </c>
      <c r="N2" s="2336">
        <f t="shared" si="0"/>
        <v>2030</v>
      </c>
      <c r="O2" s="2336">
        <f t="shared" si="0"/>
        <v>2031</v>
      </c>
      <c r="P2" s="2336">
        <f t="shared" si="0"/>
        <v>2032</v>
      </c>
      <c r="Q2" s="2336">
        <f t="shared" si="0"/>
        <v>2033</v>
      </c>
      <c r="R2" s="2336">
        <f t="shared" si="0"/>
        <v>2034</v>
      </c>
      <c r="S2" s="2340">
        <f t="shared" si="0"/>
        <v>2035</v>
      </c>
      <c r="T2" s="482"/>
      <c r="U2" s="482"/>
      <c r="V2" s="482"/>
      <c r="W2" s="482"/>
      <c r="X2" s="482"/>
      <c r="Y2" s="482"/>
      <c r="Z2" s="482"/>
      <c r="AA2" s="482"/>
      <c r="AB2" s="482"/>
      <c r="AC2" s="482"/>
    </row>
    <row r="3" spans="1:35" ht="15" thickBot="1" x14ac:dyDescent="0.35">
      <c r="A3" s="481"/>
      <c r="B3" s="512" t="s">
        <v>23</v>
      </c>
      <c r="C3" s="513" t="str">
        <f>IF('0 Úvod'!$M$10="English",Slovnik!D167,Slovnik!C167)</f>
        <v>Scénář s projektem</v>
      </c>
      <c r="D3" s="514" t="str">
        <f>IF('0 Úvod'!$M$10="English",Slovnik!D175,Slovnik!C175)</f>
        <v>Celkem</v>
      </c>
      <c r="E3" s="2335"/>
      <c r="F3" s="2337"/>
      <c r="G3" s="2337"/>
      <c r="H3" s="2337"/>
      <c r="I3" s="2337"/>
      <c r="J3" s="2337"/>
      <c r="K3" s="2337"/>
      <c r="L3" s="2337"/>
      <c r="M3" s="2337"/>
      <c r="N3" s="2337"/>
      <c r="O3" s="2337"/>
      <c r="P3" s="2337"/>
      <c r="Q3" s="2337"/>
      <c r="R3" s="2337"/>
      <c r="S3" s="2341"/>
      <c r="T3" s="482"/>
      <c r="U3" s="482"/>
      <c r="V3" s="482"/>
      <c r="W3" s="482"/>
      <c r="X3" s="482"/>
      <c r="Y3" s="482"/>
      <c r="Z3" s="482"/>
      <c r="AA3" s="482"/>
      <c r="AB3" s="482"/>
      <c r="AC3" s="482"/>
    </row>
    <row r="4" spans="1:35" ht="14.25" x14ac:dyDescent="0.3">
      <c r="A4" s="481"/>
      <c r="B4" s="542"/>
      <c r="C4" s="543" t="str">
        <f>IF('0 Úvod'!$M$10="English",Slovnik!D168,Slovnik!C168)</f>
        <v xml:space="preserve">Náklady na provoz VLAKŮ - osobní </v>
      </c>
      <c r="D4" s="554">
        <f t="shared" ref="D4:D9" si="1">SUM(E4:S4,E16:S16)</f>
        <v>-4254091.259552069</v>
      </c>
      <c r="E4" s="2176"/>
      <c r="F4" s="2177"/>
      <c r="G4" s="2177">
        <f>$B$111*G86+$B$112*G87</f>
        <v>-2127045.6297760345</v>
      </c>
      <c r="H4" s="2177"/>
      <c r="I4" s="2177"/>
      <c r="J4" s="2177"/>
      <c r="K4" s="2177"/>
      <c r="L4" s="2177"/>
      <c r="M4" s="2177"/>
      <c r="N4" s="2177"/>
      <c r="O4" s="2177"/>
      <c r="P4" s="2177"/>
      <c r="Q4" s="2177"/>
      <c r="R4" s="2177"/>
      <c r="S4" s="2178"/>
      <c r="T4" s="1959"/>
      <c r="U4" s="483"/>
      <c r="V4" s="483"/>
      <c r="W4" s="483"/>
      <c r="X4" s="483"/>
      <c r="Y4" s="483"/>
      <c r="Z4" s="483"/>
      <c r="AA4" s="483"/>
      <c r="AB4" s="483"/>
      <c r="AC4" s="480"/>
    </row>
    <row r="5" spans="1:35" ht="14.25" x14ac:dyDescent="0.3">
      <c r="A5" s="481"/>
      <c r="B5" s="544"/>
      <c r="C5" s="543" t="str">
        <f>IF('0 Úvod'!$M$10="English",Slovnik!D169,Slovnik!C169)</f>
        <v>Náklady na provoz VLAKŮ - nákladní</v>
      </c>
      <c r="D5" s="555">
        <f t="shared" si="1"/>
        <v>164260812.51910549</v>
      </c>
      <c r="E5" s="2179"/>
      <c r="F5" s="507"/>
      <c r="G5" s="507"/>
      <c r="H5" s="507"/>
      <c r="I5" s="507"/>
      <c r="J5" s="507">
        <f>SUMPRODUCT($B$88:$B$91,J88:J91)*$J$81</f>
        <v>6570432.5007642182</v>
      </c>
      <c r="K5" s="507">
        <f t="shared" ref="K5:S5" si="2">SUMPRODUCT($B$88:$B$91,K88:K91)*$J$81</f>
        <v>6570432.5007642182</v>
      </c>
      <c r="L5" s="507">
        <f t="shared" si="2"/>
        <v>6570432.5007642182</v>
      </c>
      <c r="M5" s="507">
        <f t="shared" si="2"/>
        <v>6570432.5007642182</v>
      </c>
      <c r="N5" s="507">
        <f t="shared" si="2"/>
        <v>6570432.5007642182</v>
      </c>
      <c r="O5" s="507">
        <f t="shared" si="2"/>
        <v>6570432.5007642182</v>
      </c>
      <c r="P5" s="507">
        <f t="shared" si="2"/>
        <v>6570432.5007642182</v>
      </c>
      <c r="Q5" s="507">
        <f t="shared" si="2"/>
        <v>6570432.5007642182</v>
      </c>
      <c r="R5" s="507">
        <f t="shared" si="2"/>
        <v>6570432.5007642182</v>
      </c>
      <c r="S5" s="2180">
        <f t="shared" si="2"/>
        <v>6570432.5007642182</v>
      </c>
      <c r="T5" s="1959"/>
      <c r="U5" s="865"/>
      <c r="V5" s="865"/>
      <c r="W5" s="865"/>
      <c r="X5" s="865"/>
      <c r="Y5" s="865"/>
      <c r="Z5" s="865"/>
      <c r="AA5" s="865"/>
      <c r="AB5" s="865"/>
      <c r="AC5" s="480"/>
    </row>
    <row r="6" spans="1:35" ht="14.25" x14ac:dyDescent="0.3">
      <c r="A6" s="481"/>
      <c r="B6" s="544"/>
      <c r="C6" s="543" t="str">
        <f>IF('0 Úvod'!$M$10="English",Slovnik!D170,Slovnik!C170)</f>
        <v>Náklady na provoz SILNIČNÍCH vozidel - osobní</v>
      </c>
      <c r="D6" s="555">
        <f t="shared" si="1"/>
        <v>-117852.39891642464</v>
      </c>
      <c r="E6" s="2179"/>
      <c r="F6" s="507"/>
      <c r="G6" s="507">
        <f>$V$32*G84</f>
        <v>-58926.199458212322</v>
      </c>
      <c r="H6" s="507"/>
      <c r="I6" s="507"/>
      <c r="J6" s="507"/>
      <c r="K6" s="507"/>
      <c r="L6" s="507"/>
      <c r="M6" s="507"/>
      <c r="N6" s="507"/>
      <c r="O6" s="507"/>
      <c r="P6" s="507"/>
      <c r="Q6" s="507"/>
      <c r="R6" s="507"/>
      <c r="S6" s="2180"/>
      <c r="T6" s="1960"/>
      <c r="U6" s="480"/>
      <c r="V6" s="480"/>
      <c r="W6" s="480"/>
      <c r="X6" s="480"/>
      <c r="Y6" s="480"/>
      <c r="Z6" s="480"/>
      <c r="AA6" s="480"/>
      <c r="AB6" s="480"/>
      <c r="AC6" s="480"/>
    </row>
    <row r="7" spans="1:35" ht="14.25" x14ac:dyDescent="0.3">
      <c r="A7" s="481"/>
      <c r="B7" s="544"/>
      <c r="C7" s="543" t="str">
        <f>IF('0 Úvod'!$M$10="English",Slovnik!D171,Slovnik!C171)</f>
        <v>Náklady na provoz SILNIČNÍCH vozidel - nákladní</v>
      </c>
      <c r="D7" s="555">
        <f t="shared" si="1"/>
        <v>0</v>
      </c>
      <c r="E7" s="507"/>
      <c r="F7" s="507"/>
      <c r="G7" s="507"/>
      <c r="H7" s="507"/>
      <c r="I7" s="507"/>
      <c r="J7" s="507"/>
      <c r="K7" s="507"/>
      <c r="L7" s="507"/>
      <c r="M7" s="507"/>
      <c r="N7" s="507"/>
      <c r="O7" s="507"/>
      <c r="P7" s="507"/>
      <c r="Q7" s="507"/>
      <c r="R7" s="507"/>
      <c r="S7" s="2180"/>
      <c r="T7" s="1959"/>
      <c r="U7" s="483"/>
      <c r="V7" s="483"/>
      <c r="W7" s="483"/>
      <c r="X7" s="483"/>
      <c r="Y7" s="483"/>
      <c r="Z7" s="483"/>
      <c r="AA7" s="483"/>
      <c r="AB7" s="483"/>
      <c r="AC7" s="480"/>
    </row>
    <row r="8" spans="1:35" ht="14.25" x14ac:dyDescent="0.3">
      <c r="A8" s="481"/>
      <c r="B8" s="544"/>
      <c r="C8" s="543" t="str">
        <f>IF('0 Úvod'!$M$10="English",Slovnik!D172,Slovnik!C172)</f>
        <v>Náklady na provoz PLAVIDEL - osobní</v>
      </c>
      <c r="D8" s="555">
        <f t="shared" si="1"/>
        <v>0</v>
      </c>
      <c r="E8" s="2179"/>
      <c r="F8" s="507"/>
      <c r="G8" s="507"/>
      <c r="H8" s="507"/>
      <c r="I8" s="507"/>
      <c r="J8" s="507"/>
      <c r="K8" s="507"/>
      <c r="L8" s="507"/>
      <c r="M8" s="507"/>
      <c r="N8" s="507"/>
      <c r="O8" s="507"/>
      <c r="P8" s="507"/>
      <c r="Q8" s="507"/>
      <c r="R8" s="507"/>
      <c r="S8" s="2180"/>
      <c r="T8" s="1959"/>
      <c r="U8" s="483"/>
      <c r="V8" s="483"/>
      <c r="W8" s="483"/>
      <c r="X8" s="483"/>
      <c r="Y8" s="483"/>
      <c r="Z8" s="483"/>
      <c r="AA8" s="483"/>
      <c r="AB8" s="483"/>
      <c r="AC8" s="480"/>
    </row>
    <row r="9" spans="1:35" ht="14.25" x14ac:dyDescent="0.3">
      <c r="A9" s="481"/>
      <c r="B9" s="544"/>
      <c r="C9" s="543" t="str">
        <f>IF('0 Úvod'!$M$10="English",Slovnik!D173,Slovnik!C173)</f>
        <v>Náklady na provoz PLAVIDEL - nákladní</v>
      </c>
      <c r="D9" s="555">
        <f t="shared" si="1"/>
        <v>0</v>
      </c>
      <c r="E9" s="2179"/>
      <c r="F9" s="507"/>
      <c r="G9" s="507"/>
      <c r="H9" s="507"/>
      <c r="I9" s="507"/>
      <c r="J9" s="507"/>
      <c r="K9" s="507"/>
      <c r="L9" s="507"/>
      <c r="M9" s="507"/>
      <c r="N9" s="507"/>
      <c r="O9" s="507"/>
      <c r="P9" s="507"/>
      <c r="Q9" s="507"/>
      <c r="R9" s="507"/>
      <c r="S9" s="2180"/>
      <c r="T9" s="1959"/>
      <c r="U9" s="483"/>
      <c r="V9" s="483"/>
      <c r="W9" s="483"/>
      <c r="X9" s="483"/>
      <c r="Y9" s="483"/>
      <c r="Z9" s="483"/>
      <c r="AA9" s="483"/>
      <c r="AB9" s="483"/>
      <c r="AC9" s="480"/>
    </row>
    <row r="10" spans="1:35" ht="14.25" x14ac:dyDescent="0.3">
      <c r="A10" s="481"/>
      <c r="B10" s="544"/>
      <c r="C10" s="543" t="str">
        <f>IF('0 Úvod'!$M$10="English",Slovnik!D733,Slovnik!C733)</f>
        <v>Náklady na provoz MĚSTSKÝCH AUTOBUSŮ</v>
      </c>
      <c r="D10" s="555">
        <f t="shared" ref="D10:D11" si="3">SUM(E10:S10,E22:S22)</f>
        <v>0</v>
      </c>
      <c r="E10" s="2179"/>
      <c r="F10" s="507"/>
      <c r="G10" s="507"/>
      <c r="H10" s="507"/>
      <c r="I10" s="507"/>
      <c r="J10" s="507"/>
      <c r="K10" s="507"/>
      <c r="L10" s="507"/>
      <c r="M10" s="507"/>
      <c r="N10" s="507"/>
      <c r="O10" s="507"/>
      <c r="P10" s="507"/>
      <c r="Q10" s="507"/>
      <c r="R10" s="507"/>
      <c r="S10" s="2180"/>
      <c r="T10" s="1959"/>
      <c r="U10" s="483"/>
      <c r="V10" s="483"/>
      <c r="W10" s="483"/>
      <c r="X10" s="483"/>
      <c r="Y10" s="483"/>
      <c r="Z10" s="483"/>
      <c r="AA10" s="483"/>
      <c r="AB10" s="483"/>
      <c r="AC10" s="480"/>
    </row>
    <row r="11" spans="1:35" ht="14.25" x14ac:dyDescent="0.3">
      <c r="A11" s="481"/>
      <c r="B11" s="1837"/>
      <c r="C11" s="1838" t="str">
        <f>IF('0 Úvod'!$M$10="English",Slovnik!D734,Slovnik!C734)</f>
        <v>Náklady na provoz TRAMVAJÍ, TROLEJBUSŮ, METRA</v>
      </c>
      <c r="D11" s="1839">
        <f t="shared" si="3"/>
        <v>0</v>
      </c>
      <c r="E11" s="2187"/>
      <c r="F11" s="2188"/>
      <c r="G11" s="2188"/>
      <c r="H11" s="2188"/>
      <c r="I11" s="2188"/>
      <c r="J11" s="2188"/>
      <c r="K11" s="2188"/>
      <c r="L11" s="2188"/>
      <c r="M11" s="2188"/>
      <c r="N11" s="2188"/>
      <c r="O11" s="2188"/>
      <c r="P11" s="2188"/>
      <c r="Q11" s="2188"/>
      <c r="R11" s="2188"/>
      <c r="S11" s="2189"/>
      <c r="T11" s="1959"/>
      <c r="U11" s="483"/>
      <c r="V11" s="483"/>
      <c r="W11" s="483"/>
      <c r="X11" s="483"/>
      <c r="Y11" s="483"/>
      <c r="Z11" s="483"/>
      <c r="AA11" s="483"/>
      <c r="AB11" s="483"/>
      <c r="AC11" s="480"/>
    </row>
    <row r="12" spans="1:35" ht="15" thickBot="1" x14ac:dyDescent="0.35">
      <c r="A12" s="481"/>
      <c r="B12" s="1833"/>
      <c r="C12" s="1834" t="str">
        <f>IF('0 Úvod'!$M$10="English",Slovnik!D174,Slovnik!C174)</f>
        <v>Celkové provozní náklady vozidel</v>
      </c>
      <c r="D12" s="1835">
        <f t="shared" ref="D12" si="4">SUM(E12:S12,E24:S24)</f>
        <v>159888868.86063701</v>
      </c>
      <c r="E12" s="537">
        <f>SUM(E4:E11)</f>
        <v>0</v>
      </c>
      <c r="F12" s="1961">
        <f t="shared" ref="F12:S12" si="5">SUM(F4:F11)</f>
        <v>0</v>
      </c>
      <c r="G12" s="1961">
        <f t="shared" si="5"/>
        <v>-2185971.8292342466</v>
      </c>
      <c r="H12" s="1961">
        <f t="shared" si="5"/>
        <v>0</v>
      </c>
      <c r="I12" s="1961">
        <f t="shared" si="5"/>
        <v>0</v>
      </c>
      <c r="J12" s="1961">
        <f t="shared" si="5"/>
        <v>6570432.5007642182</v>
      </c>
      <c r="K12" s="1961">
        <f t="shared" si="5"/>
        <v>6570432.5007642182</v>
      </c>
      <c r="L12" s="1961">
        <f t="shared" si="5"/>
        <v>6570432.5007642182</v>
      </c>
      <c r="M12" s="1961">
        <f t="shared" si="5"/>
        <v>6570432.5007642182</v>
      </c>
      <c r="N12" s="1961">
        <f t="shared" si="5"/>
        <v>6570432.5007642182</v>
      </c>
      <c r="O12" s="1961">
        <f t="shared" si="5"/>
        <v>6570432.5007642182</v>
      </c>
      <c r="P12" s="1961">
        <f t="shared" si="5"/>
        <v>6570432.5007642182</v>
      </c>
      <c r="Q12" s="1961">
        <f t="shared" si="5"/>
        <v>6570432.5007642182</v>
      </c>
      <c r="R12" s="1961">
        <f t="shared" si="5"/>
        <v>6570432.5007642182</v>
      </c>
      <c r="S12" s="1962">
        <f t="shared" si="5"/>
        <v>6570432.5007642182</v>
      </c>
      <c r="T12" s="484"/>
      <c r="U12" s="484"/>
      <c r="V12" s="484"/>
      <c r="W12" s="484"/>
      <c r="X12" s="484"/>
      <c r="Y12" s="484"/>
      <c r="Z12" s="484"/>
      <c r="AA12" s="484"/>
      <c r="AB12" s="484"/>
      <c r="AC12" s="485"/>
    </row>
    <row r="13" spans="1:35" ht="14.25" thickBot="1" x14ac:dyDescent="0.35">
      <c r="A13" s="481"/>
      <c r="B13" s="486"/>
      <c r="C13" s="481"/>
      <c r="D13" s="480"/>
      <c r="E13" s="487"/>
      <c r="F13" s="487"/>
      <c r="G13" s="487"/>
      <c r="H13" s="487"/>
      <c r="I13" s="487"/>
      <c r="J13" s="487"/>
      <c r="K13" s="487"/>
      <c r="L13" s="487"/>
      <c r="M13" s="487"/>
      <c r="N13" s="487"/>
      <c r="O13" s="487"/>
      <c r="P13" s="487"/>
      <c r="Q13" s="487"/>
      <c r="R13" s="487"/>
      <c r="S13" s="487"/>
      <c r="T13" s="480"/>
      <c r="U13" s="480"/>
      <c r="V13" s="480"/>
      <c r="W13" s="480"/>
      <c r="X13" s="480"/>
      <c r="Y13" s="480"/>
      <c r="Z13" s="480"/>
      <c r="AA13" s="480"/>
      <c r="AB13" s="480"/>
      <c r="AC13" s="480"/>
    </row>
    <row r="14" spans="1:35" ht="14.25" x14ac:dyDescent="0.3">
      <c r="A14" s="481"/>
      <c r="B14" s="509" t="s">
        <v>27</v>
      </c>
      <c r="C14" s="510" t="str">
        <f t="shared" ref="C14:C21" si="6">C2</f>
        <v>Celkové provozní náklady (CZK)</v>
      </c>
      <c r="D14" s="511"/>
      <c r="E14" s="2334">
        <f>S2+1</f>
        <v>2036</v>
      </c>
      <c r="F14" s="2336">
        <f t="shared" ref="F14:S14" si="7">E14+1</f>
        <v>2037</v>
      </c>
      <c r="G14" s="2336">
        <f t="shared" si="7"/>
        <v>2038</v>
      </c>
      <c r="H14" s="2336">
        <f t="shared" si="7"/>
        <v>2039</v>
      </c>
      <c r="I14" s="2336">
        <f t="shared" si="7"/>
        <v>2040</v>
      </c>
      <c r="J14" s="2336">
        <f t="shared" si="7"/>
        <v>2041</v>
      </c>
      <c r="K14" s="2336">
        <f t="shared" si="7"/>
        <v>2042</v>
      </c>
      <c r="L14" s="2336">
        <f t="shared" si="7"/>
        <v>2043</v>
      </c>
      <c r="M14" s="2336">
        <f t="shared" si="7"/>
        <v>2044</v>
      </c>
      <c r="N14" s="2336">
        <f t="shared" si="7"/>
        <v>2045</v>
      </c>
      <c r="O14" s="2336">
        <f t="shared" si="7"/>
        <v>2046</v>
      </c>
      <c r="P14" s="2336">
        <f t="shared" si="7"/>
        <v>2047</v>
      </c>
      <c r="Q14" s="2336">
        <f t="shared" si="7"/>
        <v>2048</v>
      </c>
      <c r="R14" s="2336">
        <f t="shared" si="7"/>
        <v>2049</v>
      </c>
      <c r="S14" s="2340">
        <f t="shared" si="7"/>
        <v>2050</v>
      </c>
      <c r="T14" s="482"/>
      <c r="U14" s="482"/>
      <c r="V14" s="482"/>
      <c r="W14" s="482"/>
      <c r="X14" s="482"/>
      <c r="Y14" s="482"/>
      <c r="Z14" s="482"/>
      <c r="AA14" s="482"/>
      <c r="AB14" s="482"/>
      <c r="AC14" s="482"/>
    </row>
    <row r="15" spans="1:35" s="481" customFormat="1" ht="15" thickBot="1" x14ac:dyDescent="0.35">
      <c r="B15" s="512" t="s">
        <v>24</v>
      </c>
      <c r="C15" s="513" t="str">
        <f t="shared" si="6"/>
        <v>Scénář s projektem</v>
      </c>
      <c r="D15" s="549"/>
      <c r="E15" s="2335"/>
      <c r="F15" s="2337"/>
      <c r="G15" s="2337"/>
      <c r="H15" s="2337"/>
      <c r="I15" s="2337"/>
      <c r="J15" s="2337"/>
      <c r="K15" s="2337"/>
      <c r="L15" s="2337"/>
      <c r="M15" s="2337"/>
      <c r="N15" s="2337"/>
      <c r="O15" s="2337"/>
      <c r="P15" s="2337"/>
      <c r="Q15" s="2337"/>
      <c r="R15" s="2337"/>
      <c r="S15" s="2341"/>
      <c r="T15" s="482"/>
      <c r="U15" s="482"/>
      <c r="V15" s="482"/>
      <c r="W15" s="482"/>
      <c r="X15" s="482"/>
      <c r="Y15" s="482"/>
      <c r="Z15" s="482"/>
      <c r="AA15" s="482"/>
      <c r="AB15" s="482"/>
      <c r="AC15" s="482"/>
      <c r="AD15" s="479"/>
      <c r="AE15" s="479"/>
      <c r="AF15" s="479"/>
      <c r="AG15" s="479"/>
      <c r="AH15" s="479"/>
      <c r="AI15" s="479"/>
    </row>
    <row r="16" spans="1:35" s="481" customFormat="1" ht="14.25" x14ac:dyDescent="0.3">
      <c r="B16" s="542"/>
      <c r="C16" s="543" t="str">
        <f t="shared" si="6"/>
        <v xml:space="preserve">Náklady na provoz VLAKŮ - osobní </v>
      </c>
      <c r="D16" s="550"/>
      <c r="E16" s="2176"/>
      <c r="F16" s="2177"/>
      <c r="G16" s="2177"/>
      <c r="H16" s="2177"/>
      <c r="I16" s="2177"/>
      <c r="J16" s="2177"/>
      <c r="K16" s="2177"/>
      <c r="L16" s="2177"/>
      <c r="M16" s="2177"/>
      <c r="N16" s="2177"/>
      <c r="O16" s="2177"/>
      <c r="P16" s="2177"/>
      <c r="Q16" s="2177">
        <f>$B$86*Q98+$B$87*Q99</f>
        <v>-2127045.6297760345</v>
      </c>
      <c r="R16" s="2177"/>
      <c r="S16" s="2178"/>
      <c r="T16" s="1960"/>
      <c r="U16" s="480"/>
      <c r="V16" s="480"/>
      <c r="W16" s="480"/>
      <c r="X16" s="480"/>
      <c r="Y16" s="480"/>
      <c r="Z16" s="480"/>
      <c r="AA16" s="480"/>
      <c r="AB16" s="480"/>
      <c r="AC16" s="480"/>
      <c r="AD16" s="479"/>
      <c r="AE16" s="479"/>
      <c r="AF16" s="479"/>
      <c r="AG16" s="479"/>
      <c r="AH16" s="479"/>
      <c r="AI16" s="479"/>
    </row>
    <row r="17" spans="1:35" ht="14.25" x14ac:dyDescent="0.3">
      <c r="A17" s="481"/>
      <c r="B17" s="544"/>
      <c r="C17" s="543" t="str">
        <f t="shared" si="6"/>
        <v>Náklady na provoz VLAKŮ - nákladní</v>
      </c>
      <c r="D17" s="551"/>
      <c r="E17" s="2179">
        <f>SUMPRODUCT($B$88:$B$91,E100:E103)*$J$81</f>
        <v>6570432.5007642182</v>
      </c>
      <c r="F17" s="507">
        <f t="shared" ref="F17:S17" si="8">SUMPRODUCT($B$88:$B$91,F100:F103)*$J$81</f>
        <v>6570432.5007642182</v>
      </c>
      <c r="G17" s="507">
        <f t="shared" si="8"/>
        <v>6570432.5007642182</v>
      </c>
      <c r="H17" s="507">
        <f t="shared" si="8"/>
        <v>6570432.5007642182</v>
      </c>
      <c r="I17" s="507">
        <f t="shared" si="8"/>
        <v>6570432.5007642182</v>
      </c>
      <c r="J17" s="507">
        <f t="shared" si="8"/>
        <v>6570432.5007642182</v>
      </c>
      <c r="K17" s="507">
        <f t="shared" si="8"/>
        <v>6570432.5007642182</v>
      </c>
      <c r="L17" s="507">
        <f t="shared" si="8"/>
        <v>6570432.5007642182</v>
      </c>
      <c r="M17" s="507">
        <f t="shared" si="8"/>
        <v>6570432.5007642182</v>
      </c>
      <c r="N17" s="507">
        <f t="shared" si="8"/>
        <v>6570432.5007642182</v>
      </c>
      <c r="O17" s="507">
        <f t="shared" si="8"/>
        <v>6570432.5007642182</v>
      </c>
      <c r="P17" s="507">
        <f t="shared" si="8"/>
        <v>6570432.5007642182</v>
      </c>
      <c r="Q17" s="507">
        <f t="shared" si="8"/>
        <v>6570432.5007642182</v>
      </c>
      <c r="R17" s="507">
        <f t="shared" si="8"/>
        <v>6570432.5007642182</v>
      </c>
      <c r="S17" s="2180">
        <f t="shared" si="8"/>
        <v>6570432.5007642182</v>
      </c>
      <c r="T17" s="1960"/>
      <c r="U17" s="480"/>
      <c r="V17" s="480"/>
      <c r="W17" s="480"/>
      <c r="X17" s="480"/>
      <c r="Y17" s="480"/>
      <c r="Z17" s="480"/>
      <c r="AA17" s="480"/>
      <c r="AB17" s="480"/>
      <c r="AC17" s="480"/>
    </row>
    <row r="18" spans="1:35" ht="14.25" x14ac:dyDescent="0.3">
      <c r="A18" s="481"/>
      <c r="B18" s="544"/>
      <c r="C18" s="543" t="str">
        <f t="shared" si="6"/>
        <v>Náklady na provoz SILNIČNÍCH vozidel - osobní</v>
      </c>
      <c r="D18" s="551"/>
      <c r="E18" s="2179"/>
      <c r="F18" s="507"/>
      <c r="G18" s="507"/>
      <c r="H18" s="507"/>
      <c r="I18" s="507"/>
      <c r="J18" s="507"/>
      <c r="K18" s="507"/>
      <c r="L18" s="507"/>
      <c r="M18" s="507"/>
      <c r="N18" s="507"/>
      <c r="O18" s="507"/>
      <c r="P18" s="507"/>
      <c r="Q18" s="507">
        <f>$V$32*Q96</f>
        <v>-58926.199458212322</v>
      </c>
      <c r="R18" s="507"/>
      <c r="S18" s="2180"/>
      <c r="T18" s="1960"/>
      <c r="U18" s="480"/>
      <c r="V18" s="480"/>
      <c r="W18" s="480"/>
      <c r="X18" s="480"/>
      <c r="Y18" s="480"/>
      <c r="Z18" s="480"/>
      <c r="AA18" s="480"/>
      <c r="AB18" s="480"/>
      <c r="AC18" s="480"/>
    </row>
    <row r="19" spans="1:35" ht="14.25" x14ac:dyDescent="0.3">
      <c r="A19" s="481"/>
      <c r="B19" s="544"/>
      <c r="C19" s="543" t="str">
        <f t="shared" si="6"/>
        <v>Náklady na provoz SILNIČNÍCH vozidel - nákladní</v>
      </c>
      <c r="D19" s="551"/>
      <c r="E19" s="507"/>
      <c r="F19" s="507"/>
      <c r="G19" s="507"/>
      <c r="H19" s="507"/>
      <c r="I19" s="507"/>
      <c r="J19" s="507"/>
      <c r="K19" s="507"/>
      <c r="L19" s="507"/>
      <c r="M19" s="507"/>
      <c r="N19" s="507"/>
      <c r="O19" s="507"/>
      <c r="P19" s="507"/>
      <c r="Q19" s="507"/>
      <c r="R19" s="507"/>
      <c r="S19" s="2180"/>
      <c r="T19" s="1960"/>
      <c r="U19" s="480"/>
      <c r="V19" s="480"/>
      <c r="W19" s="480"/>
      <c r="X19" s="480"/>
      <c r="Y19" s="480"/>
      <c r="Z19" s="480"/>
      <c r="AA19" s="480"/>
      <c r="AB19" s="480"/>
      <c r="AC19" s="480"/>
    </row>
    <row r="20" spans="1:35" ht="14.25" x14ac:dyDescent="0.3">
      <c r="A20" s="481"/>
      <c r="B20" s="544"/>
      <c r="C20" s="543" t="str">
        <f t="shared" si="6"/>
        <v>Náklady na provoz PLAVIDEL - osobní</v>
      </c>
      <c r="D20" s="551"/>
      <c r="E20" s="2179"/>
      <c r="F20" s="507"/>
      <c r="G20" s="507"/>
      <c r="H20" s="507"/>
      <c r="I20" s="507"/>
      <c r="J20" s="507"/>
      <c r="K20" s="507"/>
      <c r="L20" s="507"/>
      <c r="M20" s="507"/>
      <c r="N20" s="507"/>
      <c r="O20" s="507"/>
      <c r="P20" s="507"/>
      <c r="Q20" s="507"/>
      <c r="R20" s="507"/>
      <c r="S20" s="2180"/>
      <c r="T20" s="1960"/>
      <c r="U20" s="480"/>
      <c r="V20" s="480"/>
      <c r="W20" s="480"/>
      <c r="X20" s="480"/>
      <c r="Y20" s="480"/>
      <c r="Z20" s="480"/>
      <c r="AA20" s="480"/>
      <c r="AB20" s="480"/>
      <c r="AC20" s="480"/>
    </row>
    <row r="21" spans="1:35" ht="14.25" x14ac:dyDescent="0.3">
      <c r="A21" s="481"/>
      <c r="B21" s="544"/>
      <c r="C21" s="543" t="str">
        <f t="shared" si="6"/>
        <v>Náklady na provoz PLAVIDEL - nákladní</v>
      </c>
      <c r="D21" s="551"/>
      <c r="E21" s="2179"/>
      <c r="F21" s="507"/>
      <c r="G21" s="507"/>
      <c r="H21" s="507"/>
      <c r="I21" s="507"/>
      <c r="J21" s="507"/>
      <c r="K21" s="507"/>
      <c r="L21" s="507"/>
      <c r="M21" s="507"/>
      <c r="N21" s="507"/>
      <c r="O21" s="507"/>
      <c r="P21" s="507"/>
      <c r="Q21" s="507"/>
      <c r="R21" s="507"/>
      <c r="S21" s="2180"/>
      <c r="T21" s="1960"/>
      <c r="U21" s="480"/>
      <c r="V21" s="480"/>
      <c r="W21" s="480"/>
      <c r="X21" s="480"/>
      <c r="Y21" s="480"/>
      <c r="Z21" s="480"/>
      <c r="AA21" s="480"/>
      <c r="AB21" s="480"/>
      <c r="AC21" s="480"/>
    </row>
    <row r="22" spans="1:35" ht="14.25" x14ac:dyDescent="0.3">
      <c r="A22" s="481"/>
      <c r="B22" s="544"/>
      <c r="C22" s="543" t="str">
        <f>IF('0 Úvod'!$M$10="English",Slovnik!D733,Slovnik!C733)</f>
        <v>Náklady na provoz MĚSTSKÝCH AUTOBUSŮ</v>
      </c>
      <c r="D22" s="551"/>
      <c r="E22" s="2179"/>
      <c r="F22" s="507"/>
      <c r="G22" s="507"/>
      <c r="H22" s="507"/>
      <c r="I22" s="507"/>
      <c r="J22" s="507"/>
      <c r="K22" s="507"/>
      <c r="L22" s="507"/>
      <c r="M22" s="507"/>
      <c r="N22" s="507"/>
      <c r="O22" s="507"/>
      <c r="P22" s="507"/>
      <c r="Q22" s="507"/>
      <c r="R22" s="507"/>
      <c r="S22" s="2180"/>
      <c r="T22" s="1960"/>
      <c r="U22" s="480"/>
      <c r="V22" s="480"/>
      <c r="W22" s="480"/>
      <c r="X22" s="480"/>
      <c r="Y22" s="480"/>
      <c r="Z22" s="480"/>
      <c r="AA22" s="480"/>
      <c r="AB22" s="480"/>
      <c r="AC22" s="480"/>
    </row>
    <row r="23" spans="1:35" ht="14.25" x14ac:dyDescent="0.3">
      <c r="A23" s="481"/>
      <c r="B23" s="1837"/>
      <c r="C23" s="1838" t="str">
        <f>IF('0 Úvod'!$M$10="English",Slovnik!D734,Slovnik!C734)</f>
        <v>Náklady na provoz TRAMVAJÍ, TROLEJBUSŮ, METRA</v>
      </c>
      <c r="D23" s="1958"/>
      <c r="E23" s="2187"/>
      <c r="F23" s="2188"/>
      <c r="G23" s="2188"/>
      <c r="H23" s="2188"/>
      <c r="I23" s="2188"/>
      <c r="J23" s="2188"/>
      <c r="K23" s="2188"/>
      <c r="L23" s="2188"/>
      <c r="M23" s="2188"/>
      <c r="N23" s="2188"/>
      <c r="O23" s="2188"/>
      <c r="P23" s="2188"/>
      <c r="Q23" s="2188"/>
      <c r="R23" s="2188"/>
      <c r="S23" s="2189"/>
      <c r="T23" s="1960"/>
      <c r="U23" s="480"/>
      <c r="V23" s="480"/>
      <c r="W23" s="480"/>
      <c r="X23" s="480"/>
      <c r="Y23" s="480"/>
      <c r="Z23" s="480"/>
      <c r="AA23" s="480"/>
      <c r="AB23" s="480"/>
      <c r="AC23" s="480"/>
    </row>
    <row r="24" spans="1:35" ht="15" thickBot="1" x14ac:dyDescent="0.35">
      <c r="A24" s="488"/>
      <c r="B24" s="1833"/>
      <c r="C24" s="1834" t="str">
        <f t="shared" ref="C24" si="9">C12</f>
        <v>Celkové provozní náklady vozidel</v>
      </c>
      <c r="D24" s="1836"/>
      <c r="E24" s="537">
        <f>SUM(E16:E23)</f>
        <v>6570432.5007642182</v>
      </c>
      <c r="F24" s="1961">
        <f t="shared" ref="F24:S24" si="10">SUM(F16:F23)</f>
        <v>6570432.5007642182</v>
      </c>
      <c r="G24" s="1961">
        <f t="shared" si="10"/>
        <v>6570432.5007642182</v>
      </c>
      <c r="H24" s="1961">
        <f t="shared" si="10"/>
        <v>6570432.5007642182</v>
      </c>
      <c r="I24" s="1961">
        <f t="shared" si="10"/>
        <v>6570432.5007642182</v>
      </c>
      <c r="J24" s="1961">
        <f t="shared" si="10"/>
        <v>6570432.5007642182</v>
      </c>
      <c r="K24" s="1961">
        <f t="shared" si="10"/>
        <v>6570432.5007642182</v>
      </c>
      <c r="L24" s="1961">
        <f t="shared" si="10"/>
        <v>6570432.5007642182</v>
      </c>
      <c r="M24" s="1961">
        <f t="shared" si="10"/>
        <v>6570432.5007642182</v>
      </c>
      <c r="N24" s="1961">
        <f t="shared" si="10"/>
        <v>6570432.5007642182</v>
      </c>
      <c r="O24" s="1961">
        <f t="shared" si="10"/>
        <v>6570432.5007642182</v>
      </c>
      <c r="P24" s="1961">
        <f t="shared" si="10"/>
        <v>6570432.5007642182</v>
      </c>
      <c r="Q24" s="1961">
        <f t="shared" si="10"/>
        <v>4384460.6715299711</v>
      </c>
      <c r="R24" s="1961">
        <f t="shared" si="10"/>
        <v>6570432.5007642182</v>
      </c>
      <c r="S24" s="1962">
        <f t="shared" si="10"/>
        <v>6570432.5007642182</v>
      </c>
      <c r="T24" s="485"/>
      <c r="U24" s="485"/>
      <c r="V24" s="485"/>
      <c r="W24" s="485"/>
      <c r="X24" s="485"/>
      <c r="Y24" s="485"/>
      <c r="Z24" s="485"/>
      <c r="AA24" s="485"/>
      <c r="AB24" s="485"/>
      <c r="AC24" s="485"/>
    </row>
    <row r="25" spans="1:35" x14ac:dyDescent="0.3">
      <c r="A25" s="488"/>
      <c r="B25" s="489"/>
      <c r="C25" s="488"/>
      <c r="D25" s="480"/>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row>
    <row r="26" spans="1:35" ht="14.25" thickBot="1" x14ac:dyDescent="0.35">
      <c r="A26" s="481"/>
    </row>
    <row r="27" spans="1:35" ht="14.25" x14ac:dyDescent="0.3">
      <c r="A27" s="481"/>
      <c r="B27" s="490" t="s">
        <v>28</v>
      </c>
      <c r="C27" s="491" t="str">
        <f>C14</f>
        <v>Celkové provozní náklady (CZK)</v>
      </c>
      <c r="D27" s="492"/>
      <c r="E27" s="2348">
        <f>E2</f>
        <v>2021</v>
      </c>
      <c r="F27" s="2338">
        <f t="shared" ref="F27:S27" si="11">E27+1</f>
        <v>2022</v>
      </c>
      <c r="G27" s="2338">
        <f t="shared" si="11"/>
        <v>2023</v>
      </c>
      <c r="H27" s="2338">
        <f t="shared" si="11"/>
        <v>2024</v>
      </c>
      <c r="I27" s="2338">
        <f t="shared" si="11"/>
        <v>2025</v>
      </c>
      <c r="J27" s="2338">
        <f t="shared" si="11"/>
        <v>2026</v>
      </c>
      <c r="K27" s="2338">
        <f t="shared" si="11"/>
        <v>2027</v>
      </c>
      <c r="L27" s="2338">
        <f t="shared" si="11"/>
        <v>2028</v>
      </c>
      <c r="M27" s="2338">
        <f t="shared" si="11"/>
        <v>2029</v>
      </c>
      <c r="N27" s="2338">
        <f t="shared" si="11"/>
        <v>2030</v>
      </c>
      <c r="O27" s="2338">
        <f t="shared" si="11"/>
        <v>2031</v>
      </c>
      <c r="P27" s="2338">
        <f t="shared" si="11"/>
        <v>2032</v>
      </c>
      <c r="Q27" s="2338">
        <f t="shared" si="11"/>
        <v>2033</v>
      </c>
      <c r="R27" s="2338">
        <f t="shared" si="11"/>
        <v>2034</v>
      </c>
      <c r="S27" s="2342">
        <f t="shared" si="11"/>
        <v>2035</v>
      </c>
      <c r="T27" s="482"/>
      <c r="U27" s="482"/>
      <c r="V27" s="482"/>
      <c r="W27" s="482"/>
      <c r="X27" s="482"/>
      <c r="Y27" s="482"/>
      <c r="Z27" s="482"/>
      <c r="AA27" s="482"/>
      <c r="AB27" s="482"/>
      <c r="AC27" s="482"/>
    </row>
    <row r="28" spans="1:35" ht="15" thickBot="1" x14ac:dyDescent="0.35">
      <c r="A28" s="481"/>
      <c r="B28" s="493" t="s">
        <v>23</v>
      </c>
      <c r="C28" s="494" t="str">
        <f>IF('0 Úvod'!$M$10="English",Slovnik!$D$176,Slovnik!$C$176)</f>
        <v>Scénář bez projektu</v>
      </c>
      <c r="D28" s="495" t="str">
        <f>D3</f>
        <v>Celkem</v>
      </c>
      <c r="E28" s="2349"/>
      <c r="F28" s="2339"/>
      <c r="G28" s="2339"/>
      <c r="H28" s="2339"/>
      <c r="I28" s="2339"/>
      <c r="J28" s="2339"/>
      <c r="K28" s="2339"/>
      <c r="L28" s="2339"/>
      <c r="M28" s="2339"/>
      <c r="N28" s="2339"/>
      <c r="O28" s="2339"/>
      <c r="P28" s="2339"/>
      <c r="Q28" s="2339"/>
      <c r="R28" s="2339"/>
      <c r="S28" s="2343"/>
      <c r="T28" s="482"/>
      <c r="U28" s="482"/>
      <c r="V28" s="482"/>
      <c r="W28" s="482"/>
      <c r="X28" s="482"/>
      <c r="Y28" s="482"/>
      <c r="Z28" s="482"/>
      <c r="AA28" s="482"/>
      <c r="AB28" s="482"/>
      <c r="AC28" s="482"/>
    </row>
    <row r="29" spans="1:35" s="481" customFormat="1" ht="14.25" x14ac:dyDescent="0.3">
      <c r="B29" s="545"/>
      <c r="C29" s="543" t="str">
        <f t="shared" ref="C29:C34" si="12">C16</f>
        <v xml:space="preserve">Náklady na provoz VLAKŮ - osobní </v>
      </c>
      <c r="D29" s="554">
        <f t="shared" ref="D29:D34" si="13">SUM(E29:S29,E41:S41)</f>
        <v>-2127045.6297760345</v>
      </c>
      <c r="E29" s="2176"/>
      <c r="F29" s="2177"/>
      <c r="G29" s="2177"/>
      <c r="H29" s="2177"/>
      <c r="I29" s="2177"/>
      <c r="J29" s="2177"/>
      <c r="K29" s="2177"/>
      <c r="L29" s="2177"/>
      <c r="M29" s="2177"/>
      <c r="N29" s="2177"/>
      <c r="O29" s="2177"/>
      <c r="P29" s="2177"/>
      <c r="Q29" s="2177"/>
      <c r="R29" s="2177"/>
      <c r="S29" s="2178"/>
      <c r="T29" s="1959"/>
      <c r="U29" s="483"/>
      <c r="V29" s="483"/>
      <c r="W29" s="483"/>
      <c r="X29" s="483"/>
      <c r="Y29" s="483"/>
      <c r="Z29" s="483"/>
      <c r="AA29" s="483"/>
      <c r="AB29" s="483"/>
      <c r="AC29" s="480"/>
      <c r="AD29" s="479"/>
      <c r="AE29" s="479"/>
      <c r="AF29" s="479"/>
      <c r="AG29" s="479"/>
      <c r="AH29" s="479"/>
      <c r="AI29" s="479"/>
    </row>
    <row r="30" spans="1:35" ht="14.25" x14ac:dyDescent="0.3">
      <c r="A30" s="481"/>
      <c r="B30" s="546"/>
      <c r="C30" s="543" t="str">
        <f t="shared" si="12"/>
        <v>Náklady na provoz VLAKŮ - nákladní</v>
      </c>
      <c r="D30" s="555">
        <f t="shared" si="13"/>
        <v>0</v>
      </c>
      <c r="E30" s="2179"/>
      <c r="F30" s="507"/>
      <c r="G30" s="507"/>
      <c r="H30" s="507"/>
      <c r="I30" s="507"/>
      <c r="J30" s="507"/>
      <c r="K30" s="507"/>
      <c r="L30" s="507"/>
      <c r="M30" s="507"/>
      <c r="N30" s="507"/>
      <c r="O30" s="507"/>
      <c r="P30" s="507"/>
      <c r="Q30" s="507"/>
      <c r="R30" s="507"/>
      <c r="S30" s="2180"/>
      <c r="T30" s="1959"/>
      <c r="U30" s="483"/>
      <c r="V30" s="483"/>
      <c r="W30" s="483"/>
      <c r="X30" s="483"/>
      <c r="Y30" s="483"/>
      <c r="Z30" s="483"/>
      <c r="AA30" s="483"/>
      <c r="AB30" s="483"/>
      <c r="AC30" s="480"/>
    </row>
    <row r="31" spans="1:35" ht="12" customHeight="1" x14ac:dyDescent="0.3">
      <c r="A31" s="481"/>
      <c r="B31" s="546"/>
      <c r="C31" s="543" t="str">
        <f t="shared" si="12"/>
        <v>Náklady na provoz SILNIČNÍCH vozidel - osobní</v>
      </c>
      <c r="D31" s="555">
        <f t="shared" si="13"/>
        <v>-58926.199458212322</v>
      </c>
      <c r="E31" s="2179"/>
      <c r="F31" s="507"/>
      <c r="G31" s="507"/>
      <c r="H31" s="507"/>
      <c r="I31" s="507"/>
      <c r="J31" s="507"/>
      <c r="K31" s="507"/>
      <c r="L31" s="507"/>
      <c r="M31" s="507"/>
      <c r="N31" s="507"/>
      <c r="O31" s="507"/>
      <c r="P31" s="507"/>
      <c r="Q31" s="507"/>
      <c r="R31" s="507"/>
      <c r="S31" s="2180"/>
      <c r="T31" s="2190">
        <v>5.58</v>
      </c>
      <c r="U31" s="2192">
        <f>T31*(1+'0 Úvod'!$L$41)*(1+'0 Úvod'!$M$41)*(1+'0 Úvod'!$N$41)</f>
        <v>5.9389683191999998</v>
      </c>
      <c r="V31" s="2192">
        <f>U31/'6 Externality'!U286</f>
        <v>3.4935107759999999</v>
      </c>
      <c r="W31" s="480"/>
      <c r="X31" s="480"/>
      <c r="Y31" s="480"/>
      <c r="Z31" s="480"/>
      <c r="AA31" s="480"/>
      <c r="AB31" s="480"/>
      <c r="AC31" s="480"/>
    </row>
    <row r="32" spans="1:35" ht="12" customHeight="1" x14ac:dyDescent="0.3">
      <c r="A32" s="481"/>
      <c r="B32" s="546"/>
      <c r="C32" s="543" t="str">
        <f t="shared" si="12"/>
        <v>Náklady na provoz SILNIČNÍCH vozidel - nákladní</v>
      </c>
      <c r="D32" s="555">
        <f t="shared" si="13"/>
        <v>317435148.82162911</v>
      </c>
      <c r="E32" s="507"/>
      <c r="F32" s="507"/>
      <c r="G32" s="507"/>
      <c r="H32" s="507"/>
      <c r="I32" s="507"/>
      <c r="J32" s="507">
        <f>J85*$U$34*$J$81</f>
        <v>12697405.952865165</v>
      </c>
      <c r="K32" s="507">
        <f t="shared" ref="K32:S32" si="14">K85*$U$34*$J$81</f>
        <v>12697405.952865165</v>
      </c>
      <c r="L32" s="507">
        <f t="shared" si="14"/>
        <v>12697405.952865165</v>
      </c>
      <c r="M32" s="507">
        <f t="shared" si="14"/>
        <v>12697405.952865165</v>
      </c>
      <c r="N32" s="507">
        <f t="shared" si="14"/>
        <v>12697405.952865165</v>
      </c>
      <c r="O32" s="507">
        <f t="shared" si="14"/>
        <v>12697405.952865165</v>
      </c>
      <c r="P32" s="507">
        <f t="shared" si="14"/>
        <v>12697405.952865165</v>
      </c>
      <c r="Q32" s="507">
        <f t="shared" si="14"/>
        <v>12697405.952865165</v>
      </c>
      <c r="R32" s="507">
        <f t="shared" si="14"/>
        <v>12697405.952865165</v>
      </c>
      <c r="S32" s="2180">
        <f t="shared" si="14"/>
        <v>12697405.952865165</v>
      </c>
      <c r="T32" s="2191">
        <v>18.95</v>
      </c>
      <c r="U32" s="2192">
        <f>T32*(1+'0 Úvod'!$L$41)*(1+'0 Úvod'!$M$41)*(1+'0 Úvod'!$N$41)</f>
        <v>20.169076997999998</v>
      </c>
      <c r="V32" s="2192">
        <f>U32/'6 Externality'!U287</f>
        <v>0.56025213883333325</v>
      </c>
      <c r="W32" s="483"/>
      <c r="X32" s="483"/>
      <c r="Y32" s="483"/>
      <c r="Z32" s="483"/>
      <c r="AA32" s="483"/>
      <c r="AB32" s="483"/>
      <c r="AC32" s="480"/>
    </row>
    <row r="33" spans="1:35" ht="12" customHeight="1" x14ac:dyDescent="0.3">
      <c r="A33" s="481"/>
      <c r="B33" s="546"/>
      <c r="C33" s="543" t="str">
        <f t="shared" si="12"/>
        <v>Náklady na provoz PLAVIDEL - osobní</v>
      </c>
      <c r="D33" s="555">
        <f t="shared" si="13"/>
        <v>0</v>
      </c>
      <c r="E33" s="2179"/>
      <c r="F33" s="507"/>
      <c r="G33" s="507"/>
      <c r="H33" s="507"/>
      <c r="I33" s="507"/>
      <c r="J33" s="507"/>
      <c r="K33" s="507"/>
      <c r="L33" s="507"/>
      <c r="M33" s="507"/>
      <c r="N33" s="507"/>
      <c r="O33" s="507"/>
      <c r="P33" s="507"/>
      <c r="Q33" s="507"/>
      <c r="R33" s="507"/>
      <c r="S33" s="2180"/>
      <c r="T33" s="2191">
        <v>9.02</v>
      </c>
      <c r="U33" s="2192">
        <f>T33*(1+'0 Úvod'!$L$41)*(1+'0 Úvod'!$M$41)*(1+'0 Úvod'!$N$41)</f>
        <v>9.600267784799998</v>
      </c>
      <c r="V33" s="2192"/>
      <c r="W33" s="483"/>
      <c r="X33" s="483"/>
      <c r="Y33" s="483"/>
      <c r="Z33" s="483"/>
      <c r="AA33" s="483"/>
      <c r="AB33" s="483"/>
      <c r="AC33" s="480"/>
    </row>
    <row r="34" spans="1:35" ht="12" customHeight="1" x14ac:dyDescent="0.3">
      <c r="A34" s="481"/>
      <c r="B34" s="546"/>
      <c r="C34" s="543" t="str">
        <f t="shared" si="12"/>
        <v>Náklady na provoz PLAVIDEL - nákladní</v>
      </c>
      <c r="D34" s="555">
        <f t="shared" si="13"/>
        <v>0</v>
      </c>
      <c r="E34" s="2179"/>
      <c r="F34" s="507"/>
      <c r="G34" s="507"/>
      <c r="H34" s="507"/>
      <c r="I34" s="507"/>
      <c r="J34" s="507"/>
      <c r="K34" s="507"/>
      <c r="L34" s="507"/>
      <c r="M34" s="507"/>
      <c r="N34" s="507"/>
      <c r="O34" s="507"/>
      <c r="P34" s="507"/>
      <c r="Q34" s="507"/>
      <c r="R34" s="507"/>
      <c r="S34" s="2180"/>
      <c r="T34" s="483">
        <v>21.65</v>
      </c>
      <c r="U34" s="2192">
        <f>T34*(1+'0 Úvod'!$L$41)*(1+'0 Úvod'!$M$41)*(1+'0 Úvod'!$N$41)</f>
        <v>23.042771345999999</v>
      </c>
      <c r="V34" s="2192">
        <f>U34/'6 Externality'!U289</f>
        <v>1.3197463542955326</v>
      </c>
      <c r="W34" s="483"/>
      <c r="X34" s="483"/>
      <c r="Y34" s="483"/>
      <c r="Z34" s="483"/>
      <c r="AA34" s="483"/>
      <c r="AB34" s="483"/>
      <c r="AC34" s="480"/>
    </row>
    <row r="35" spans="1:35" ht="12" customHeight="1" x14ac:dyDescent="0.3">
      <c r="A35" s="481"/>
      <c r="B35" s="546"/>
      <c r="C35" s="543" t="str">
        <f>IF('0 Úvod'!$M$10="English",Slovnik!D733,Slovnik!C733)</f>
        <v>Náklady na provoz MĚSTSKÝCH AUTOBUSŮ</v>
      </c>
      <c r="D35" s="555">
        <f t="shared" ref="D35:D36" si="15">SUM(E35:S35,E47:S47)</f>
        <v>0</v>
      </c>
      <c r="E35" s="2179"/>
      <c r="F35" s="507"/>
      <c r="G35" s="507"/>
      <c r="H35" s="507"/>
      <c r="I35" s="507"/>
      <c r="J35" s="507"/>
      <c r="K35" s="507"/>
      <c r="L35" s="507"/>
      <c r="M35" s="507"/>
      <c r="N35" s="507"/>
      <c r="O35" s="507"/>
      <c r="P35" s="507"/>
      <c r="Q35" s="507"/>
      <c r="R35" s="507"/>
      <c r="S35" s="2180"/>
      <c r="T35" s="1959"/>
      <c r="U35" s="483"/>
      <c r="V35" s="483"/>
      <c r="W35" s="483"/>
      <c r="X35" s="483"/>
      <c r="Y35" s="483"/>
      <c r="Z35" s="483"/>
      <c r="AA35" s="483"/>
      <c r="AB35" s="483"/>
      <c r="AC35" s="480"/>
    </row>
    <row r="36" spans="1:35" ht="12" customHeight="1" x14ac:dyDescent="0.3">
      <c r="A36" s="481"/>
      <c r="B36" s="1844"/>
      <c r="C36" s="1838" t="str">
        <f>IF('0 Úvod'!$M$10="English",Slovnik!D734,Slovnik!C734)</f>
        <v>Náklady na provoz TRAMVAJÍ, TROLEJBUSŮ, METRA</v>
      </c>
      <c r="D36" s="1839">
        <f t="shared" si="15"/>
        <v>0</v>
      </c>
      <c r="E36" s="2187"/>
      <c r="F36" s="2188"/>
      <c r="G36" s="2188"/>
      <c r="H36" s="2188"/>
      <c r="I36" s="2188"/>
      <c r="J36" s="2188"/>
      <c r="K36" s="2188"/>
      <c r="L36" s="2188"/>
      <c r="M36" s="2188"/>
      <c r="N36" s="2188"/>
      <c r="O36" s="2188"/>
      <c r="P36" s="2188"/>
      <c r="Q36" s="2188"/>
      <c r="R36" s="2188"/>
      <c r="S36" s="2189"/>
      <c r="T36" s="1959"/>
      <c r="U36" s="483"/>
      <c r="V36" s="483"/>
      <c r="W36" s="483"/>
      <c r="X36" s="483"/>
      <c r="Y36" s="483"/>
      <c r="Z36" s="483"/>
      <c r="AA36" s="483"/>
      <c r="AB36" s="483"/>
      <c r="AC36" s="480"/>
    </row>
    <row r="37" spans="1:35" ht="15" thickBot="1" x14ac:dyDescent="0.35">
      <c r="A37" s="481"/>
      <c r="B37" s="1840"/>
      <c r="C37" s="1841" t="str">
        <f t="shared" ref="C37" si="16">C24</f>
        <v>Celkové provozní náklady vozidel</v>
      </c>
      <c r="D37" s="1842">
        <f t="shared" ref="D37" si="17">SUM(E37:S37,E49:S49)</f>
        <v>315249176.99239486</v>
      </c>
      <c r="E37" s="1963">
        <f>SUM(E29:E36)</f>
        <v>0</v>
      </c>
      <c r="F37" s="1964">
        <f t="shared" ref="F37:S37" si="18">SUM(F29:F36)</f>
        <v>0</v>
      </c>
      <c r="G37" s="1964">
        <f t="shared" si="18"/>
        <v>0</v>
      </c>
      <c r="H37" s="1964">
        <f t="shared" si="18"/>
        <v>0</v>
      </c>
      <c r="I37" s="1964">
        <f t="shared" si="18"/>
        <v>0</v>
      </c>
      <c r="J37" s="1964">
        <f t="shared" si="18"/>
        <v>12697405.952865165</v>
      </c>
      <c r="K37" s="1964">
        <f t="shared" si="18"/>
        <v>12697405.952865165</v>
      </c>
      <c r="L37" s="1964">
        <f t="shared" si="18"/>
        <v>12697405.952865165</v>
      </c>
      <c r="M37" s="1964">
        <f t="shared" si="18"/>
        <v>12697405.952865165</v>
      </c>
      <c r="N37" s="1964">
        <f t="shared" si="18"/>
        <v>12697405.952865165</v>
      </c>
      <c r="O37" s="1964">
        <f t="shared" si="18"/>
        <v>12697405.952865165</v>
      </c>
      <c r="P37" s="1964">
        <f t="shared" si="18"/>
        <v>12697405.952865165</v>
      </c>
      <c r="Q37" s="1964">
        <f t="shared" si="18"/>
        <v>12697405.952865165</v>
      </c>
      <c r="R37" s="1964">
        <f t="shared" si="18"/>
        <v>12697405.952865165</v>
      </c>
      <c r="S37" s="1965">
        <f t="shared" si="18"/>
        <v>12697405.952865165</v>
      </c>
      <c r="T37" s="484"/>
      <c r="U37" s="484"/>
      <c r="V37" s="484"/>
      <c r="W37" s="484"/>
      <c r="X37" s="484"/>
      <c r="Y37" s="484"/>
      <c r="Z37" s="484"/>
      <c r="AA37" s="484"/>
      <c r="AB37" s="484"/>
      <c r="AC37" s="484"/>
    </row>
    <row r="38" spans="1:35" ht="14.25" thickBot="1" x14ac:dyDescent="0.35">
      <c r="A38" s="481"/>
      <c r="B38" s="496"/>
      <c r="C38" s="481"/>
      <c r="D38" s="480"/>
      <c r="E38" s="487"/>
      <c r="F38" s="487"/>
      <c r="G38" s="487"/>
      <c r="H38" s="487"/>
      <c r="I38" s="487"/>
      <c r="J38" s="487"/>
      <c r="K38" s="487"/>
      <c r="L38" s="487"/>
      <c r="M38" s="487"/>
      <c r="N38" s="487"/>
      <c r="O38" s="487"/>
      <c r="P38" s="487"/>
      <c r="Q38" s="487"/>
      <c r="R38" s="487"/>
      <c r="S38" s="487"/>
      <c r="T38" s="480"/>
      <c r="U38" s="480"/>
      <c r="V38" s="480"/>
      <c r="W38" s="480"/>
      <c r="X38" s="480"/>
      <c r="Y38" s="480"/>
      <c r="Z38" s="480"/>
      <c r="AA38" s="480"/>
      <c r="AB38" s="480"/>
      <c r="AC38" s="480"/>
    </row>
    <row r="39" spans="1:35" ht="14.25" x14ac:dyDescent="0.3">
      <c r="A39" s="481"/>
      <c r="B39" s="490" t="s">
        <v>28</v>
      </c>
      <c r="C39" s="491" t="str">
        <f t="shared" ref="C39:C46" si="19">C27</f>
        <v>Celkové provozní náklady (CZK)</v>
      </c>
      <c r="D39" s="497"/>
      <c r="E39" s="2348">
        <f>S27+1</f>
        <v>2036</v>
      </c>
      <c r="F39" s="2338">
        <f t="shared" ref="F39:S39" si="20">E39+1</f>
        <v>2037</v>
      </c>
      <c r="G39" s="2338">
        <f t="shared" si="20"/>
        <v>2038</v>
      </c>
      <c r="H39" s="2338">
        <f t="shared" si="20"/>
        <v>2039</v>
      </c>
      <c r="I39" s="2338">
        <f t="shared" si="20"/>
        <v>2040</v>
      </c>
      <c r="J39" s="2338">
        <f t="shared" si="20"/>
        <v>2041</v>
      </c>
      <c r="K39" s="2338">
        <f t="shared" si="20"/>
        <v>2042</v>
      </c>
      <c r="L39" s="2338">
        <f t="shared" si="20"/>
        <v>2043</v>
      </c>
      <c r="M39" s="2338">
        <f t="shared" si="20"/>
        <v>2044</v>
      </c>
      <c r="N39" s="2338">
        <f t="shared" si="20"/>
        <v>2045</v>
      </c>
      <c r="O39" s="2338">
        <f t="shared" si="20"/>
        <v>2046</v>
      </c>
      <c r="P39" s="2338">
        <f t="shared" si="20"/>
        <v>2047</v>
      </c>
      <c r="Q39" s="2338">
        <f t="shared" si="20"/>
        <v>2048</v>
      </c>
      <c r="R39" s="2338">
        <f t="shared" si="20"/>
        <v>2049</v>
      </c>
      <c r="S39" s="2342">
        <f t="shared" si="20"/>
        <v>2050</v>
      </c>
      <c r="T39" s="482"/>
      <c r="U39" s="482"/>
      <c r="V39" s="482"/>
      <c r="W39" s="482"/>
      <c r="X39" s="482"/>
      <c r="Y39" s="482"/>
      <c r="Z39" s="482"/>
      <c r="AA39" s="482"/>
      <c r="AB39" s="482"/>
      <c r="AC39" s="482"/>
    </row>
    <row r="40" spans="1:35" s="481" customFormat="1" ht="15" thickBot="1" x14ac:dyDescent="0.35">
      <c r="B40" s="493" t="s">
        <v>24</v>
      </c>
      <c r="C40" s="494" t="str">
        <f t="shared" si="19"/>
        <v>Scénář bez projektu</v>
      </c>
      <c r="D40" s="498"/>
      <c r="E40" s="2349">
        <f>S28+1</f>
        <v>1</v>
      </c>
      <c r="F40" s="2339"/>
      <c r="G40" s="2339"/>
      <c r="H40" s="2339"/>
      <c r="I40" s="2339"/>
      <c r="J40" s="2339"/>
      <c r="K40" s="2339"/>
      <c r="L40" s="2339"/>
      <c r="M40" s="2339"/>
      <c r="N40" s="2339"/>
      <c r="O40" s="2339"/>
      <c r="P40" s="2339"/>
      <c r="Q40" s="2339"/>
      <c r="R40" s="2339"/>
      <c r="S40" s="2343"/>
      <c r="T40" s="482"/>
      <c r="U40" s="482"/>
      <c r="V40" s="482"/>
      <c r="W40" s="482"/>
      <c r="X40" s="482"/>
      <c r="Y40" s="482"/>
      <c r="Z40" s="482"/>
      <c r="AA40" s="482"/>
      <c r="AB40" s="482"/>
      <c r="AC40" s="482"/>
      <c r="AD40" s="479"/>
      <c r="AE40" s="479"/>
      <c r="AF40" s="479"/>
      <c r="AG40" s="479"/>
      <c r="AH40" s="479"/>
      <c r="AI40" s="479"/>
    </row>
    <row r="41" spans="1:35" s="481" customFormat="1" ht="14.25" x14ac:dyDescent="0.3">
      <c r="B41" s="545"/>
      <c r="C41" s="543" t="str">
        <f t="shared" si="19"/>
        <v xml:space="preserve">Náklady na provoz VLAKŮ - osobní </v>
      </c>
      <c r="D41" s="550"/>
      <c r="E41" s="2176"/>
      <c r="F41" s="2177"/>
      <c r="G41" s="2177"/>
      <c r="H41" s="2177"/>
      <c r="I41" s="2177"/>
      <c r="J41" s="2177"/>
      <c r="K41" s="2177"/>
      <c r="L41" s="2177"/>
      <c r="M41" s="2177"/>
      <c r="N41" s="2177"/>
      <c r="O41" s="2177"/>
      <c r="P41" s="2177"/>
      <c r="Q41" s="2177">
        <f>$B$111*Q123+$B$112*Q124</f>
        <v>-2127045.6297760345</v>
      </c>
      <c r="R41" s="2177"/>
      <c r="S41" s="2178"/>
      <c r="T41" s="1960"/>
      <c r="U41" s="480"/>
      <c r="V41" s="480"/>
      <c r="W41" s="480"/>
      <c r="X41" s="480"/>
      <c r="Y41" s="480"/>
      <c r="Z41" s="480"/>
      <c r="AA41" s="480"/>
      <c r="AB41" s="480"/>
      <c r="AC41" s="480"/>
      <c r="AD41" s="479"/>
      <c r="AE41" s="479"/>
      <c r="AF41" s="479"/>
      <c r="AG41" s="479"/>
      <c r="AH41" s="479"/>
      <c r="AI41" s="479"/>
    </row>
    <row r="42" spans="1:35" ht="14.25" x14ac:dyDescent="0.3">
      <c r="A42" s="481"/>
      <c r="B42" s="546"/>
      <c r="C42" s="543" t="str">
        <f t="shared" si="19"/>
        <v>Náklady na provoz VLAKŮ - nákladní</v>
      </c>
      <c r="D42" s="551"/>
      <c r="E42" s="2179"/>
      <c r="F42" s="507"/>
      <c r="G42" s="507"/>
      <c r="H42" s="507"/>
      <c r="I42" s="507"/>
      <c r="J42" s="507"/>
      <c r="K42" s="507"/>
      <c r="L42" s="507"/>
      <c r="M42" s="507"/>
      <c r="N42" s="507"/>
      <c r="O42" s="507"/>
      <c r="P42" s="507"/>
      <c r="Q42" s="507"/>
      <c r="R42" s="507"/>
      <c r="S42" s="2180"/>
      <c r="T42" s="1959"/>
      <c r="U42" s="483"/>
      <c r="V42" s="483"/>
      <c r="W42" s="483"/>
      <c r="X42" s="483"/>
      <c r="Y42" s="483"/>
      <c r="Z42" s="483"/>
      <c r="AA42" s="480"/>
      <c r="AB42" s="480"/>
      <c r="AC42" s="480"/>
    </row>
    <row r="43" spans="1:35" ht="14.25" x14ac:dyDescent="0.3">
      <c r="A43" s="481"/>
      <c r="B43" s="546"/>
      <c r="C43" s="543" t="str">
        <f t="shared" si="19"/>
        <v>Náklady na provoz SILNIČNÍCH vozidel - osobní</v>
      </c>
      <c r="D43" s="551"/>
      <c r="E43" s="2179"/>
      <c r="F43" s="507"/>
      <c r="G43" s="507"/>
      <c r="H43" s="507"/>
      <c r="I43" s="507"/>
      <c r="J43" s="507"/>
      <c r="K43" s="507"/>
      <c r="L43" s="507"/>
      <c r="M43" s="507"/>
      <c r="N43" s="507"/>
      <c r="O43" s="507"/>
      <c r="P43" s="507"/>
      <c r="Q43" s="507">
        <f>$V$32*Q121</f>
        <v>-58926.199458212322</v>
      </c>
      <c r="R43" s="507"/>
      <c r="S43" s="2180"/>
      <c r="T43" s="1960"/>
      <c r="U43" s="480"/>
      <c r="V43" s="480"/>
      <c r="W43" s="480"/>
      <c r="X43" s="480"/>
      <c r="Y43" s="480"/>
      <c r="Z43" s="480"/>
      <c r="AA43" s="480"/>
      <c r="AB43" s="480"/>
      <c r="AC43" s="480"/>
    </row>
    <row r="44" spans="1:35" ht="14.25" x14ac:dyDescent="0.3">
      <c r="A44" s="481"/>
      <c r="B44" s="546"/>
      <c r="C44" s="543" t="str">
        <f t="shared" si="19"/>
        <v>Náklady na provoz SILNIČNÍCH vozidel - nákladní</v>
      </c>
      <c r="D44" s="551"/>
      <c r="E44" s="507">
        <f>E97*$U$34*$J$81</f>
        <v>12697405.952865165</v>
      </c>
      <c r="F44" s="507">
        <f t="shared" ref="F44:S44" si="21">F97*$U$34*$J$81</f>
        <v>12697405.952865165</v>
      </c>
      <c r="G44" s="507">
        <f t="shared" si="21"/>
        <v>12697405.952865165</v>
      </c>
      <c r="H44" s="507">
        <f t="shared" si="21"/>
        <v>12697405.952865165</v>
      </c>
      <c r="I44" s="507">
        <f t="shared" si="21"/>
        <v>12697405.952865165</v>
      </c>
      <c r="J44" s="507">
        <f t="shared" si="21"/>
        <v>12697405.952865165</v>
      </c>
      <c r="K44" s="507">
        <f t="shared" si="21"/>
        <v>12697405.952865165</v>
      </c>
      <c r="L44" s="507">
        <f t="shared" si="21"/>
        <v>12697405.952865165</v>
      </c>
      <c r="M44" s="507">
        <f t="shared" si="21"/>
        <v>12697405.952865165</v>
      </c>
      <c r="N44" s="507">
        <f t="shared" si="21"/>
        <v>12697405.952865165</v>
      </c>
      <c r="O44" s="507">
        <f t="shared" si="21"/>
        <v>12697405.952865165</v>
      </c>
      <c r="P44" s="507">
        <f t="shared" si="21"/>
        <v>12697405.952865165</v>
      </c>
      <c r="Q44" s="507">
        <f t="shared" si="21"/>
        <v>12697405.952865165</v>
      </c>
      <c r="R44" s="507">
        <f t="shared" si="21"/>
        <v>12697405.952865165</v>
      </c>
      <c r="S44" s="2180">
        <f t="shared" si="21"/>
        <v>12697405.952865165</v>
      </c>
      <c r="T44" s="1960"/>
      <c r="U44" s="480"/>
      <c r="V44" s="480"/>
      <c r="W44" s="480"/>
      <c r="X44" s="480"/>
      <c r="Y44" s="480"/>
      <c r="Z44" s="480"/>
      <c r="AA44" s="480"/>
      <c r="AB44" s="480"/>
      <c r="AC44" s="480"/>
    </row>
    <row r="45" spans="1:35" ht="14.25" x14ac:dyDescent="0.3">
      <c r="A45" s="481"/>
      <c r="B45" s="546"/>
      <c r="C45" s="543" t="str">
        <f t="shared" si="19"/>
        <v>Náklady na provoz PLAVIDEL - osobní</v>
      </c>
      <c r="D45" s="551"/>
      <c r="E45" s="2179"/>
      <c r="F45" s="507"/>
      <c r="G45" s="507"/>
      <c r="H45" s="507"/>
      <c r="I45" s="507"/>
      <c r="J45" s="507"/>
      <c r="K45" s="507"/>
      <c r="L45" s="507"/>
      <c r="M45" s="507"/>
      <c r="N45" s="507"/>
      <c r="O45" s="507"/>
      <c r="P45" s="507"/>
      <c r="Q45" s="507"/>
      <c r="R45" s="507"/>
      <c r="S45" s="2180"/>
      <c r="T45" s="1960"/>
      <c r="U45" s="480"/>
      <c r="V45" s="480"/>
      <c r="W45" s="480"/>
      <c r="X45" s="480"/>
      <c r="Y45" s="480"/>
      <c r="Z45" s="480"/>
      <c r="AA45" s="480"/>
      <c r="AB45" s="480"/>
      <c r="AC45" s="480"/>
    </row>
    <row r="46" spans="1:35" ht="14.25" x14ac:dyDescent="0.3">
      <c r="A46" s="481"/>
      <c r="B46" s="546"/>
      <c r="C46" s="543" t="str">
        <f t="shared" si="19"/>
        <v>Náklady na provoz PLAVIDEL - nákladní</v>
      </c>
      <c r="D46" s="551"/>
      <c r="E46" s="2179"/>
      <c r="F46" s="507"/>
      <c r="G46" s="507"/>
      <c r="H46" s="507"/>
      <c r="I46" s="507"/>
      <c r="J46" s="507"/>
      <c r="K46" s="507"/>
      <c r="L46" s="507"/>
      <c r="M46" s="507"/>
      <c r="N46" s="507"/>
      <c r="O46" s="507"/>
      <c r="P46" s="507"/>
      <c r="Q46" s="507"/>
      <c r="R46" s="507"/>
      <c r="S46" s="2180"/>
      <c r="T46" s="1960"/>
      <c r="U46" s="480"/>
      <c r="V46" s="480"/>
      <c r="W46" s="480"/>
      <c r="X46" s="480"/>
      <c r="Y46" s="480"/>
      <c r="Z46" s="480"/>
      <c r="AA46" s="480"/>
      <c r="AB46" s="480"/>
      <c r="AC46" s="480"/>
    </row>
    <row r="47" spans="1:35" ht="14.25" x14ac:dyDescent="0.3">
      <c r="A47" s="481"/>
      <c r="B47" s="546"/>
      <c r="C47" s="543" t="str">
        <f>IF('0 Úvod'!$M$10="English",Slovnik!D733,Slovnik!C733)</f>
        <v>Náklady na provoz MĚSTSKÝCH AUTOBUSŮ</v>
      </c>
      <c r="D47" s="551"/>
      <c r="E47" s="2179"/>
      <c r="F47" s="507"/>
      <c r="G47" s="507"/>
      <c r="H47" s="507"/>
      <c r="I47" s="507"/>
      <c r="J47" s="507"/>
      <c r="K47" s="507"/>
      <c r="L47" s="507"/>
      <c r="M47" s="507"/>
      <c r="N47" s="507"/>
      <c r="O47" s="507"/>
      <c r="P47" s="507"/>
      <c r="Q47" s="507"/>
      <c r="R47" s="507"/>
      <c r="S47" s="2180"/>
      <c r="T47" s="1960"/>
      <c r="U47" s="480"/>
      <c r="V47" s="480"/>
      <c r="W47" s="480"/>
      <c r="X47" s="480"/>
      <c r="Y47" s="480"/>
      <c r="Z47" s="480"/>
      <c r="AA47" s="480"/>
      <c r="AB47" s="480"/>
      <c r="AC47" s="480"/>
    </row>
    <row r="48" spans="1:35" ht="14.25" x14ac:dyDescent="0.3">
      <c r="A48" s="481"/>
      <c r="B48" s="1844"/>
      <c r="C48" s="1838" t="str">
        <f>IF('0 Úvod'!$M$10="English",Slovnik!D734,Slovnik!C734)</f>
        <v>Náklady na provoz TRAMVAJÍ, TROLEJBUSŮ, METRA</v>
      </c>
      <c r="D48" s="1958"/>
      <c r="E48" s="2187"/>
      <c r="F48" s="2188"/>
      <c r="G48" s="2188"/>
      <c r="H48" s="2188"/>
      <c r="I48" s="2188"/>
      <c r="J48" s="2188"/>
      <c r="K48" s="2188"/>
      <c r="L48" s="2188"/>
      <c r="M48" s="2188"/>
      <c r="N48" s="2188"/>
      <c r="O48" s="2188"/>
      <c r="P48" s="2188"/>
      <c r="Q48" s="2188"/>
      <c r="R48" s="2188"/>
      <c r="S48" s="2189"/>
      <c r="T48" s="1960"/>
      <c r="U48" s="480"/>
      <c r="V48" s="480"/>
      <c r="W48" s="480"/>
      <c r="X48" s="480"/>
      <c r="Y48" s="480"/>
      <c r="Z48" s="480"/>
      <c r="AA48" s="480"/>
      <c r="AB48" s="480"/>
      <c r="AC48" s="480"/>
    </row>
    <row r="49" spans="1:29" ht="15" thickBot="1" x14ac:dyDescent="0.35">
      <c r="A49" s="488"/>
      <c r="B49" s="1840"/>
      <c r="C49" s="1841" t="str">
        <f t="shared" ref="C49" si="22">C37</f>
        <v>Celkové provozní náklady vozidel</v>
      </c>
      <c r="D49" s="1843"/>
      <c r="E49" s="1963">
        <f>SUM(E41:E48)</f>
        <v>12697405.952865165</v>
      </c>
      <c r="F49" s="1964">
        <f t="shared" ref="F49:S49" si="23">SUM(F41:F48)</f>
        <v>12697405.952865165</v>
      </c>
      <c r="G49" s="1964">
        <f t="shared" si="23"/>
        <v>12697405.952865165</v>
      </c>
      <c r="H49" s="1964">
        <f t="shared" si="23"/>
        <v>12697405.952865165</v>
      </c>
      <c r="I49" s="1964">
        <f t="shared" si="23"/>
        <v>12697405.952865165</v>
      </c>
      <c r="J49" s="1964">
        <f t="shared" si="23"/>
        <v>12697405.952865165</v>
      </c>
      <c r="K49" s="1964">
        <f t="shared" si="23"/>
        <v>12697405.952865165</v>
      </c>
      <c r="L49" s="1964">
        <f t="shared" si="23"/>
        <v>12697405.952865165</v>
      </c>
      <c r="M49" s="1964">
        <f t="shared" si="23"/>
        <v>12697405.952865165</v>
      </c>
      <c r="N49" s="1964">
        <f t="shared" si="23"/>
        <v>12697405.952865165</v>
      </c>
      <c r="O49" s="1964">
        <f t="shared" si="23"/>
        <v>12697405.952865165</v>
      </c>
      <c r="P49" s="1964">
        <f t="shared" si="23"/>
        <v>12697405.952865165</v>
      </c>
      <c r="Q49" s="1964">
        <f t="shared" si="23"/>
        <v>10511434.123630919</v>
      </c>
      <c r="R49" s="1964">
        <f t="shared" si="23"/>
        <v>12697405.952865165</v>
      </c>
      <c r="S49" s="1965">
        <f t="shared" si="23"/>
        <v>12697405.952865165</v>
      </c>
      <c r="T49" s="485"/>
      <c r="U49" s="485"/>
      <c r="V49" s="485"/>
      <c r="W49" s="485"/>
      <c r="X49" s="485"/>
      <c r="Y49" s="485"/>
      <c r="Z49" s="485"/>
      <c r="AA49" s="485"/>
      <c r="AB49" s="485"/>
      <c r="AC49" s="485"/>
    </row>
    <row r="50" spans="1:29" x14ac:dyDescent="0.3">
      <c r="A50" s="488"/>
      <c r="B50" s="499"/>
      <c r="C50" s="488"/>
      <c r="D50" s="480"/>
      <c r="E50" s="485"/>
      <c r="F50" s="485"/>
      <c r="G50" s="485"/>
      <c r="H50" s="485"/>
      <c r="I50" s="485"/>
      <c r="J50" s="485"/>
      <c r="K50" s="485"/>
      <c r="L50" s="485"/>
      <c r="M50" s="485"/>
      <c r="N50" s="485"/>
      <c r="O50" s="485"/>
      <c r="P50" s="485"/>
      <c r="Q50" s="485"/>
      <c r="R50" s="485"/>
      <c r="S50" s="485"/>
      <c r="T50" s="485"/>
      <c r="U50" s="485"/>
      <c r="V50" s="485"/>
      <c r="W50" s="485"/>
      <c r="X50" s="485"/>
      <c r="Y50" s="485"/>
      <c r="Z50" s="485"/>
      <c r="AA50" s="485"/>
      <c r="AB50" s="485"/>
      <c r="AC50" s="485"/>
    </row>
    <row r="51" spans="1:29" ht="14.25" thickBot="1" x14ac:dyDescent="0.35">
      <c r="A51" s="481"/>
      <c r="B51" s="499"/>
      <c r="D51" s="480"/>
      <c r="E51" s="480"/>
      <c r="F51" s="480"/>
      <c r="G51" s="480"/>
      <c r="H51" s="480"/>
      <c r="I51" s="480"/>
      <c r="J51" s="480"/>
      <c r="K51" s="480"/>
      <c r="L51" s="480"/>
      <c r="M51" s="480"/>
      <c r="N51" s="480"/>
      <c r="O51" s="480"/>
      <c r="P51" s="480"/>
      <c r="Q51" s="480"/>
      <c r="R51" s="480"/>
      <c r="S51" s="480"/>
      <c r="T51" s="480"/>
      <c r="U51" s="480"/>
      <c r="V51" s="480"/>
      <c r="W51" s="480"/>
      <c r="X51" s="480"/>
      <c r="Y51" s="480"/>
      <c r="Z51" s="480"/>
      <c r="AA51" s="480"/>
      <c r="AB51" s="480"/>
      <c r="AC51" s="480"/>
    </row>
    <row r="52" spans="1:29" s="481" customFormat="1" ht="12.75" customHeight="1" x14ac:dyDescent="0.3">
      <c r="B52" s="523" t="s">
        <v>29</v>
      </c>
      <c r="C52" s="524" t="str">
        <f>IF('0 Úvod'!$M$10="English",Slovnik!D177,Slovnik!C177)</f>
        <v>Přírůstkové celkové provozní náklady (CZK)</v>
      </c>
      <c r="D52" s="525"/>
      <c r="E52" s="2350">
        <f>E2</f>
        <v>2021</v>
      </c>
      <c r="F52" s="2344">
        <f t="shared" ref="F52:S52" si="24">E52+1</f>
        <v>2022</v>
      </c>
      <c r="G52" s="2344">
        <f t="shared" si="24"/>
        <v>2023</v>
      </c>
      <c r="H52" s="2344">
        <f t="shared" si="24"/>
        <v>2024</v>
      </c>
      <c r="I52" s="2344">
        <f t="shared" si="24"/>
        <v>2025</v>
      </c>
      <c r="J52" s="2344">
        <f t="shared" si="24"/>
        <v>2026</v>
      </c>
      <c r="K52" s="2344">
        <f t="shared" si="24"/>
        <v>2027</v>
      </c>
      <c r="L52" s="2344">
        <f t="shared" si="24"/>
        <v>2028</v>
      </c>
      <c r="M52" s="2344">
        <f t="shared" si="24"/>
        <v>2029</v>
      </c>
      <c r="N52" s="2344">
        <f t="shared" si="24"/>
        <v>2030</v>
      </c>
      <c r="O52" s="2344">
        <f t="shared" si="24"/>
        <v>2031</v>
      </c>
      <c r="P52" s="2344">
        <f t="shared" si="24"/>
        <v>2032</v>
      </c>
      <c r="Q52" s="2344">
        <f t="shared" si="24"/>
        <v>2033</v>
      </c>
      <c r="R52" s="2344">
        <f t="shared" si="24"/>
        <v>2034</v>
      </c>
      <c r="S52" s="2346">
        <f t="shared" si="24"/>
        <v>2035</v>
      </c>
      <c r="T52" s="482"/>
      <c r="U52" s="482"/>
      <c r="V52" s="482"/>
      <c r="W52" s="482"/>
      <c r="X52" s="482"/>
      <c r="Y52" s="482"/>
      <c r="Z52" s="482"/>
      <c r="AA52" s="482"/>
      <c r="AB52" s="482"/>
      <c r="AC52" s="482"/>
    </row>
    <row r="53" spans="1:29" s="481" customFormat="1" ht="12.75" customHeight="1" thickBot="1" x14ac:dyDescent="0.35">
      <c r="B53" s="526" t="s">
        <v>23</v>
      </c>
      <c r="C53" s="527"/>
      <c r="D53" s="528" t="str">
        <f>D28</f>
        <v>Celkem</v>
      </c>
      <c r="E53" s="2351"/>
      <c r="F53" s="2345"/>
      <c r="G53" s="2345"/>
      <c r="H53" s="2345"/>
      <c r="I53" s="2345"/>
      <c r="J53" s="2345"/>
      <c r="K53" s="2345"/>
      <c r="L53" s="2345"/>
      <c r="M53" s="2345"/>
      <c r="N53" s="2345"/>
      <c r="O53" s="2345"/>
      <c r="P53" s="2345"/>
      <c r="Q53" s="2345"/>
      <c r="R53" s="2345"/>
      <c r="S53" s="2347"/>
      <c r="T53" s="482"/>
      <c r="U53" s="482"/>
      <c r="V53" s="482"/>
      <c r="W53" s="482"/>
      <c r="X53" s="482"/>
      <c r="Y53" s="482"/>
      <c r="Z53" s="482"/>
      <c r="AA53" s="482"/>
      <c r="AB53" s="482"/>
      <c r="AC53" s="482"/>
    </row>
    <row r="54" spans="1:29" s="481" customFormat="1" ht="12.75" customHeight="1" x14ac:dyDescent="0.3">
      <c r="A54" s="500"/>
      <c r="B54" s="547"/>
      <c r="C54" s="543" t="str">
        <f t="shared" ref="C54:C59" si="25">C41</f>
        <v xml:space="preserve">Náklady na provoz VLAKŮ - osobní </v>
      </c>
      <c r="D54" s="555">
        <f t="shared" ref="D54:D59" si="26">SUM(E54:S54,E66:S66)</f>
        <v>-2127045.6297760345</v>
      </c>
      <c r="E54" s="556">
        <f>(E4-E29)</f>
        <v>0</v>
      </c>
      <c r="F54" s="557">
        <f t="shared" ref="F54:S54" si="27">(F4-F29)</f>
        <v>0</v>
      </c>
      <c r="G54" s="557">
        <f t="shared" si="27"/>
        <v>-2127045.6297760345</v>
      </c>
      <c r="H54" s="557">
        <f t="shared" si="27"/>
        <v>0</v>
      </c>
      <c r="I54" s="557">
        <f t="shared" si="27"/>
        <v>0</v>
      </c>
      <c r="J54" s="557">
        <f t="shared" si="27"/>
        <v>0</v>
      </c>
      <c r="K54" s="557">
        <f t="shared" si="27"/>
        <v>0</v>
      </c>
      <c r="L54" s="557">
        <f t="shared" si="27"/>
        <v>0</v>
      </c>
      <c r="M54" s="557">
        <f t="shared" si="27"/>
        <v>0</v>
      </c>
      <c r="N54" s="557">
        <f t="shared" si="27"/>
        <v>0</v>
      </c>
      <c r="O54" s="557">
        <f t="shared" si="27"/>
        <v>0</v>
      </c>
      <c r="P54" s="557">
        <f t="shared" si="27"/>
        <v>0</v>
      </c>
      <c r="Q54" s="557">
        <f t="shared" si="27"/>
        <v>0</v>
      </c>
      <c r="R54" s="557">
        <f t="shared" si="27"/>
        <v>0</v>
      </c>
      <c r="S54" s="558">
        <f t="shared" si="27"/>
        <v>0</v>
      </c>
      <c r="T54" s="480"/>
      <c r="U54" s="480"/>
      <c r="V54" s="480"/>
      <c r="W54" s="480"/>
      <c r="X54" s="480"/>
      <c r="Y54" s="480"/>
      <c r="Z54" s="480"/>
      <c r="AA54" s="480"/>
      <c r="AB54" s="480"/>
      <c r="AC54" s="480"/>
    </row>
    <row r="55" spans="1:29" s="481" customFormat="1" ht="12.75" customHeight="1" x14ac:dyDescent="0.3">
      <c r="A55" s="500"/>
      <c r="B55" s="548"/>
      <c r="C55" s="543" t="str">
        <f t="shared" si="25"/>
        <v>Náklady na provoz VLAKŮ - nákladní</v>
      </c>
      <c r="D55" s="555">
        <f t="shared" si="26"/>
        <v>164260812.51910549</v>
      </c>
      <c r="E55" s="559">
        <f>(E5-E30)</f>
        <v>0</v>
      </c>
      <c r="F55" s="560">
        <f t="shared" ref="F55:S55" si="28">(F5-F30)</f>
        <v>0</v>
      </c>
      <c r="G55" s="560">
        <f t="shared" si="28"/>
        <v>0</v>
      </c>
      <c r="H55" s="560">
        <f t="shared" si="28"/>
        <v>0</v>
      </c>
      <c r="I55" s="560">
        <f t="shared" si="28"/>
        <v>0</v>
      </c>
      <c r="J55" s="560">
        <f t="shared" si="28"/>
        <v>6570432.5007642182</v>
      </c>
      <c r="K55" s="560">
        <f t="shared" si="28"/>
        <v>6570432.5007642182</v>
      </c>
      <c r="L55" s="560">
        <f t="shared" si="28"/>
        <v>6570432.5007642182</v>
      </c>
      <c r="M55" s="560">
        <f t="shared" si="28"/>
        <v>6570432.5007642182</v>
      </c>
      <c r="N55" s="560">
        <f t="shared" si="28"/>
        <v>6570432.5007642182</v>
      </c>
      <c r="O55" s="560">
        <f t="shared" si="28"/>
        <v>6570432.5007642182</v>
      </c>
      <c r="P55" s="560">
        <f t="shared" si="28"/>
        <v>6570432.5007642182</v>
      </c>
      <c r="Q55" s="560">
        <f t="shared" si="28"/>
        <v>6570432.5007642182</v>
      </c>
      <c r="R55" s="560">
        <f t="shared" si="28"/>
        <v>6570432.5007642182</v>
      </c>
      <c r="S55" s="561">
        <f t="shared" si="28"/>
        <v>6570432.5007642182</v>
      </c>
      <c r="T55" s="480"/>
      <c r="U55" s="480"/>
      <c r="V55" s="480"/>
      <c r="W55" s="480"/>
      <c r="X55" s="480"/>
      <c r="Y55" s="480"/>
      <c r="Z55" s="480"/>
      <c r="AA55" s="480"/>
      <c r="AB55" s="480"/>
      <c r="AC55" s="480"/>
    </row>
    <row r="56" spans="1:29" s="481" customFormat="1" ht="12.75" customHeight="1" x14ac:dyDescent="0.3">
      <c r="A56" s="500"/>
      <c r="B56" s="548"/>
      <c r="C56" s="543" t="str">
        <f>IF(SUM('Vstupy z HDM-4 a EXNAD'!I8:I37)=0,C43,IF('0 Úvod'!$M$10="English",Slovnik!D765,Slovnik!C765))</f>
        <v>Náklady na provoz SILNIČNÍCH vozidel - osobní</v>
      </c>
      <c r="D56" s="555">
        <f t="shared" si="26"/>
        <v>-58926.199458212322</v>
      </c>
      <c r="E56" s="559">
        <f>(E6-E31)+('Vstupy z HDM-4 a EXNAD'!I8-'Vstupy z HDM-4 a EXNAD'!D8)/'12 Ekonomická analýza (ERR)'!F21*1000000</f>
        <v>0</v>
      </c>
      <c r="F56" s="560">
        <f>(F6-F31)+('Vstupy z HDM-4 a EXNAD'!I9-'Vstupy z HDM-4 a EXNAD'!D9)/'12 Ekonomická analýza (ERR)'!G21*1000000</f>
        <v>0</v>
      </c>
      <c r="G56" s="560">
        <f>(G6-G31)+('Vstupy z HDM-4 a EXNAD'!I10-'Vstupy z HDM-4 a EXNAD'!D10)/'12 Ekonomická analýza (ERR)'!H21*1000000</f>
        <v>-58926.199458212322</v>
      </c>
      <c r="H56" s="560">
        <f>(H6-H31)+('Vstupy z HDM-4 a EXNAD'!I11-'Vstupy z HDM-4 a EXNAD'!D11)/'12 Ekonomická analýza (ERR)'!I21*1000000</f>
        <v>0</v>
      </c>
      <c r="I56" s="560">
        <f>(I6-I31)+('Vstupy z HDM-4 a EXNAD'!I12-'Vstupy z HDM-4 a EXNAD'!D12)/'12 Ekonomická analýza (ERR)'!J21*1000000</f>
        <v>0</v>
      </c>
      <c r="J56" s="560">
        <f>(J6-J31)+('Vstupy z HDM-4 a EXNAD'!I13-'Vstupy z HDM-4 a EXNAD'!D13)/'12 Ekonomická analýza (ERR)'!K21*1000000</f>
        <v>0</v>
      </c>
      <c r="K56" s="560">
        <f>(K6-K31)+('Vstupy z HDM-4 a EXNAD'!I14-'Vstupy z HDM-4 a EXNAD'!D14)/'12 Ekonomická analýza (ERR)'!L21*1000000</f>
        <v>0</v>
      </c>
      <c r="L56" s="560">
        <f>(L6-L31)+('Vstupy z HDM-4 a EXNAD'!I15-'Vstupy z HDM-4 a EXNAD'!D15)/'12 Ekonomická analýza (ERR)'!M21*1000000</f>
        <v>0</v>
      </c>
      <c r="M56" s="560">
        <f>(M6-M31)+('Vstupy z HDM-4 a EXNAD'!I16-'Vstupy z HDM-4 a EXNAD'!D16)/'12 Ekonomická analýza (ERR)'!N21*1000000</f>
        <v>0</v>
      </c>
      <c r="N56" s="560">
        <f>(N6-N31)+('Vstupy z HDM-4 a EXNAD'!I17-'Vstupy z HDM-4 a EXNAD'!D17)/'12 Ekonomická analýza (ERR)'!O21*1000000</f>
        <v>0</v>
      </c>
      <c r="O56" s="560">
        <f>(O6-O31)+('Vstupy z HDM-4 a EXNAD'!I18-'Vstupy z HDM-4 a EXNAD'!D18)/'12 Ekonomická analýza (ERR)'!P21*1000000</f>
        <v>0</v>
      </c>
      <c r="P56" s="560">
        <f>(P6-P31)+('Vstupy z HDM-4 a EXNAD'!I19-'Vstupy z HDM-4 a EXNAD'!D19)/'12 Ekonomická analýza (ERR)'!Q21*1000000</f>
        <v>0</v>
      </c>
      <c r="Q56" s="560">
        <f>(Q6-Q31)+('Vstupy z HDM-4 a EXNAD'!I20-'Vstupy z HDM-4 a EXNAD'!D20)/'12 Ekonomická analýza (ERR)'!R21*1000000</f>
        <v>0</v>
      </c>
      <c r="R56" s="560">
        <f>(R6-R31)+('Vstupy z HDM-4 a EXNAD'!I21-'Vstupy z HDM-4 a EXNAD'!D21)/'12 Ekonomická analýza (ERR)'!S21*1000000</f>
        <v>0</v>
      </c>
      <c r="S56" s="561">
        <f>(S6-S31)+('Vstupy z HDM-4 a EXNAD'!I22-'Vstupy z HDM-4 a EXNAD'!D22)/'12 Ekonomická analýza (ERR)'!T21*1000000</f>
        <v>0</v>
      </c>
      <c r="T56" s="480"/>
      <c r="U56" s="480"/>
      <c r="V56" s="480"/>
      <c r="W56" s="480"/>
      <c r="X56" s="480"/>
      <c r="Y56" s="480"/>
      <c r="Z56" s="480"/>
      <c r="AA56" s="480"/>
      <c r="AB56" s="480"/>
      <c r="AC56" s="480"/>
    </row>
    <row r="57" spans="1:29" s="481" customFormat="1" ht="12.75" customHeight="1" x14ac:dyDescent="0.3">
      <c r="A57" s="500"/>
      <c r="B57" s="548"/>
      <c r="C57" s="543" t="str">
        <f>IF(SUM('Vstupy z HDM-4 a EXNAD'!I8:I37)=0,C44," ")</f>
        <v>Náklady na provoz SILNIČNÍCH vozidel - nákladní</v>
      </c>
      <c r="D57" s="555">
        <f t="shared" si="26"/>
        <v>-317435148.82162911</v>
      </c>
      <c r="E57" s="559">
        <f>(E7-E32)</f>
        <v>0</v>
      </c>
      <c r="F57" s="560">
        <f t="shared" ref="F57:S57" si="29">(F7-F32)</f>
        <v>0</v>
      </c>
      <c r="G57" s="560">
        <f t="shared" si="29"/>
        <v>0</v>
      </c>
      <c r="H57" s="560">
        <f t="shared" si="29"/>
        <v>0</v>
      </c>
      <c r="I57" s="560">
        <f t="shared" si="29"/>
        <v>0</v>
      </c>
      <c r="J57" s="560">
        <f t="shared" si="29"/>
        <v>-12697405.952865165</v>
      </c>
      <c r="K57" s="560">
        <f t="shared" si="29"/>
        <v>-12697405.952865165</v>
      </c>
      <c r="L57" s="560">
        <f t="shared" si="29"/>
        <v>-12697405.952865165</v>
      </c>
      <c r="M57" s="560">
        <f t="shared" si="29"/>
        <v>-12697405.952865165</v>
      </c>
      <c r="N57" s="560">
        <f t="shared" si="29"/>
        <v>-12697405.952865165</v>
      </c>
      <c r="O57" s="560">
        <f t="shared" si="29"/>
        <v>-12697405.952865165</v>
      </c>
      <c r="P57" s="560">
        <f t="shared" si="29"/>
        <v>-12697405.952865165</v>
      </c>
      <c r="Q57" s="560">
        <f t="shared" si="29"/>
        <v>-12697405.952865165</v>
      </c>
      <c r="R57" s="560">
        <f t="shared" si="29"/>
        <v>-12697405.952865165</v>
      </c>
      <c r="S57" s="561">
        <f t="shared" si="29"/>
        <v>-12697405.952865165</v>
      </c>
      <c r="T57" s="480"/>
      <c r="U57" s="480"/>
      <c r="V57" s="480"/>
      <c r="W57" s="480"/>
      <c r="X57" s="480"/>
      <c r="Y57" s="480"/>
      <c r="Z57" s="480"/>
      <c r="AA57" s="480"/>
      <c r="AB57" s="480"/>
      <c r="AC57" s="480"/>
    </row>
    <row r="58" spans="1:29" s="481" customFormat="1" ht="12.75" customHeight="1" x14ac:dyDescent="0.3">
      <c r="A58" s="500"/>
      <c r="B58" s="548"/>
      <c r="C58" s="543" t="str">
        <f t="shared" si="25"/>
        <v>Náklady na provoz PLAVIDEL - osobní</v>
      </c>
      <c r="D58" s="555">
        <f t="shared" si="26"/>
        <v>0</v>
      </c>
      <c r="E58" s="559">
        <f>(E8-E33)</f>
        <v>0</v>
      </c>
      <c r="F58" s="560">
        <f t="shared" ref="F58:S58" si="30">(F8-F33)</f>
        <v>0</v>
      </c>
      <c r="G58" s="560">
        <f t="shared" si="30"/>
        <v>0</v>
      </c>
      <c r="H58" s="560">
        <f t="shared" si="30"/>
        <v>0</v>
      </c>
      <c r="I58" s="560">
        <f t="shared" si="30"/>
        <v>0</v>
      </c>
      <c r="J58" s="560">
        <f t="shared" si="30"/>
        <v>0</v>
      </c>
      <c r="K58" s="560">
        <f t="shared" si="30"/>
        <v>0</v>
      </c>
      <c r="L58" s="560">
        <f t="shared" si="30"/>
        <v>0</v>
      </c>
      <c r="M58" s="560">
        <f t="shared" si="30"/>
        <v>0</v>
      </c>
      <c r="N58" s="560">
        <f t="shared" si="30"/>
        <v>0</v>
      </c>
      <c r="O58" s="560">
        <f t="shared" si="30"/>
        <v>0</v>
      </c>
      <c r="P58" s="560">
        <f t="shared" si="30"/>
        <v>0</v>
      </c>
      <c r="Q58" s="560">
        <f t="shared" si="30"/>
        <v>0</v>
      </c>
      <c r="R58" s="560">
        <f t="shared" si="30"/>
        <v>0</v>
      </c>
      <c r="S58" s="561">
        <f t="shared" si="30"/>
        <v>0</v>
      </c>
      <c r="T58" s="480"/>
      <c r="U58" s="480"/>
      <c r="V58" s="480"/>
      <c r="W58" s="480"/>
      <c r="X58" s="480"/>
      <c r="Y58" s="480"/>
      <c r="Z58" s="480"/>
      <c r="AA58" s="480"/>
      <c r="AB58" s="480"/>
      <c r="AC58" s="480"/>
    </row>
    <row r="59" spans="1:29" s="481" customFormat="1" ht="12.75" customHeight="1" x14ac:dyDescent="0.3">
      <c r="A59" s="500"/>
      <c r="B59" s="548"/>
      <c r="C59" s="543" t="str">
        <f t="shared" si="25"/>
        <v>Náklady na provoz PLAVIDEL - nákladní</v>
      </c>
      <c r="D59" s="555">
        <f t="shared" si="26"/>
        <v>0</v>
      </c>
      <c r="E59" s="559">
        <f>(E9-E34)</f>
        <v>0</v>
      </c>
      <c r="F59" s="560">
        <f t="shared" ref="F59:S59" si="31">(F9-F34)</f>
        <v>0</v>
      </c>
      <c r="G59" s="560">
        <f t="shared" si="31"/>
        <v>0</v>
      </c>
      <c r="H59" s="560">
        <f t="shared" si="31"/>
        <v>0</v>
      </c>
      <c r="I59" s="560">
        <f t="shared" si="31"/>
        <v>0</v>
      </c>
      <c r="J59" s="560">
        <f t="shared" si="31"/>
        <v>0</v>
      </c>
      <c r="K59" s="560">
        <f t="shared" si="31"/>
        <v>0</v>
      </c>
      <c r="L59" s="560">
        <f t="shared" si="31"/>
        <v>0</v>
      </c>
      <c r="M59" s="560">
        <f t="shared" si="31"/>
        <v>0</v>
      </c>
      <c r="N59" s="560">
        <f t="shared" si="31"/>
        <v>0</v>
      </c>
      <c r="O59" s="560">
        <f t="shared" si="31"/>
        <v>0</v>
      </c>
      <c r="P59" s="560">
        <f t="shared" si="31"/>
        <v>0</v>
      </c>
      <c r="Q59" s="560">
        <f t="shared" si="31"/>
        <v>0</v>
      </c>
      <c r="R59" s="560">
        <f t="shared" si="31"/>
        <v>0</v>
      </c>
      <c r="S59" s="561">
        <f t="shared" si="31"/>
        <v>0</v>
      </c>
      <c r="T59" s="480"/>
      <c r="U59" s="480"/>
      <c r="V59" s="480"/>
      <c r="W59" s="480"/>
      <c r="X59" s="480"/>
      <c r="Y59" s="480"/>
      <c r="Z59" s="480"/>
      <c r="AA59" s="480"/>
      <c r="AB59" s="480"/>
      <c r="AC59" s="480"/>
    </row>
    <row r="60" spans="1:29" s="481" customFormat="1" ht="12.75" customHeight="1" x14ac:dyDescent="0.3">
      <c r="A60" s="500"/>
      <c r="B60" s="548"/>
      <c r="C60" s="543" t="str">
        <f>IF('0 Úvod'!$M$10="English",Slovnik!D733,Slovnik!C733)</f>
        <v>Náklady na provoz MĚSTSKÝCH AUTOBUSŮ</v>
      </c>
      <c r="D60" s="555">
        <f t="shared" ref="D60:D61" si="32">SUM(E60:S60,E72:S72)</f>
        <v>0</v>
      </c>
      <c r="E60" s="559">
        <f t="shared" ref="E60:E61" si="33">(E10-E35)</f>
        <v>0</v>
      </c>
      <c r="F60" s="560">
        <f t="shared" ref="F60:S60" si="34">(F10-F35)</f>
        <v>0</v>
      </c>
      <c r="G60" s="560">
        <f t="shared" si="34"/>
        <v>0</v>
      </c>
      <c r="H60" s="560">
        <f t="shared" si="34"/>
        <v>0</v>
      </c>
      <c r="I60" s="560">
        <f t="shared" si="34"/>
        <v>0</v>
      </c>
      <c r="J60" s="560">
        <f t="shared" si="34"/>
        <v>0</v>
      </c>
      <c r="K60" s="560">
        <f t="shared" si="34"/>
        <v>0</v>
      </c>
      <c r="L60" s="560">
        <f t="shared" si="34"/>
        <v>0</v>
      </c>
      <c r="M60" s="560">
        <f t="shared" si="34"/>
        <v>0</v>
      </c>
      <c r="N60" s="560">
        <f t="shared" si="34"/>
        <v>0</v>
      </c>
      <c r="O60" s="560">
        <f t="shared" si="34"/>
        <v>0</v>
      </c>
      <c r="P60" s="560">
        <f t="shared" si="34"/>
        <v>0</v>
      </c>
      <c r="Q60" s="560">
        <f t="shared" si="34"/>
        <v>0</v>
      </c>
      <c r="R60" s="560">
        <f t="shared" si="34"/>
        <v>0</v>
      </c>
      <c r="S60" s="561">
        <f t="shared" si="34"/>
        <v>0</v>
      </c>
      <c r="T60" s="480"/>
      <c r="U60" s="480"/>
      <c r="V60" s="480"/>
      <c r="W60" s="480"/>
      <c r="X60" s="480"/>
      <c r="Y60" s="480"/>
      <c r="Z60" s="480"/>
      <c r="AA60" s="480"/>
      <c r="AB60" s="480"/>
      <c r="AC60" s="480"/>
    </row>
    <row r="61" spans="1:29" s="481" customFormat="1" ht="12.75" customHeight="1" x14ac:dyDescent="0.3">
      <c r="A61" s="500"/>
      <c r="B61" s="1851"/>
      <c r="C61" s="1838" t="str">
        <f>IF('0 Úvod'!$M$10="English",Slovnik!D734,Slovnik!C734)</f>
        <v>Náklady na provoz TRAMVAJÍ, TROLEJBUSŮ, METRA</v>
      </c>
      <c r="D61" s="1839">
        <f t="shared" si="32"/>
        <v>0</v>
      </c>
      <c r="E61" s="1852">
        <f t="shared" si="33"/>
        <v>0</v>
      </c>
      <c r="F61" s="1853">
        <f t="shared" ref="F61:S61" si="35">(F11-F36)</f>
        <v>0</v>
      </c>
      <c r="G61" s="1853">
        <f t="shared" si="35"/>
        <v>0</v>
      </c>
      <c r="H61" s="1853">
        <f t="shared" si="35"/>
        <v>0</v>
      </c>
      <c r="I61" s="1853">
        <f t="shared" si="35"/>
        <v>0</v>
      </c>
      <c r="J61" s="1853">
        <f t="shared" si="35"/>
        <v>0</v>
      </c>
      <c r="K61" s="1853">
        <f t="shared" si="35"/>
        <v>0</v>
      </c>
      <c r="L61" s="1853">
        <f t="shared" si="35"/>
        <v>0</v>
      </c>
      <c r="M61" s="1853">
        <f t="shared" si="35"/>
        <v>0</v>
      </c>
      <c r="N61" s="1853">
        <f t="shared" si="35"/>
        <v>0</v>
      </c>
      <c r="O61" s="1853">
        <f t="shared" si="35"/>
        <v>0</v>
      </c>
      <c r="P61" s="1853">
        <f t="shared" si="35"/>
        <v>0</v>
      </c>
      <c r="Q61" s="1853">
        <f t="shared" si="35"/>
        <v>0</v>
      </c>
      <c r="R61" s="1853">
        <f t="shared" si="35"/>
        <v>0</v>
      </c>
      <c r="S61" s="1854">
        <f t="shared" si="35"/>
        <v>0</v>
      </c>
      <c r="T61" s="480"/>
      <c r="U61" s="480"/>
      <c r="V61" s="480"/>
      <c r="W61" s="480"/>
      <c r="X61" s="480"/>
      <c r="Y61" s="480"/>
      <c r="Z61" s="480"/>
      <c r="AA61" s="480"/>
      <c r="AB61" s="480"/>
      <c r="AC61" s="480"/>
    </row>
    <row r="62" spans="1:29" ht="15" thickBot="1" x14ac:dyDescent="0.35">
      <c r="A62" s="481"/>
      <c r="B62" s="1845"/>
      <c r="C62" s="1846" t="str">
        <f>IF('0 Úvod'!$M$10="English",Slovnik!D178,Slovnik!C178)</f>
        <v>Přírůstkové celkové PN vozidel</v>
      </c>
      <c r="D62" s="1847">
        <f t="shared" ref="D62" si="36">SUM(E62:S62,E74:S74)</f>
        <v>-155360308.13175789</v>
      </c>
      <c r="E62" s="1848">
        <f>SUM(E54:E61)</f>
        <v>0</v>
      </c>
      <c r="F62" s="1849">
        <f t="shared" ref="F62:S62" si="37">SUM(F54:F61)</f>
        <v>0</v>
      </c>
      <c r="G62" s="1849">
        <f t="shared" si="37"/>
        <v>-2185971.8292342466</v>
      </c>
      <c r="H62" s="1849">
        <f t="shared" si="37"/>
        <v>0</v>
      </c>
      <c r="I62" s="1849">
        <f t="shared" si="37"/>
        <v>0</v>
      </c>
      <c r="J62" s="1849">
        <f t="shared" si="37"/>
        <v>-6126973.4521009466</v>
      </c>
      <c r="K62" s="1849">
        <f t="shared" si="37"/>
        <v>-6126973.4521009466</v>
      </c>
      <c r="L62" s="1849">
        <f t="shared" si="37"/>
        <v>-6126973.4521009466</v>
      </c>
      <c r="M62" s="1849">
        <f t="shared" si="37"/>
        <v>-6126973.4521009466</v>
      </c>
      <c r="N62" s="1849">
        <f t="shared" si="37"/>
        <v>-6126973.4521009466</v>
      </c>
      <c r="O62" s="1849">
        <f t="shared" si="37"/>
        <v>-6126973.4521009466</v>
      </c>
      <c r="P62" s="1849">
        <f t="shared" si="37"/>
        <v>-6126973.4521009466</v>
      </c>
      <c r="Q62" s="1849">
        <f t="shared" si="37"/>
        <v>-6126973.4521009466</v>
      </c>
      <c r="R62" s="1849">
        <f t="shared" si="37"/>
        <v>-6126973.4521009466</v>
      </c>
      <c r="S62" s="1850">
        <f t="shared" si="37"/>
        <v>-6126973.4521009466</v>
      </c>
      <c r="T62" s="484"/>
      <c r="U62" s="484"/>
      <c r="V62" s="484"/>
      <c r="W62" s="484"/>
      <c r="X62" s="484"/>
      <c r="Y62" s="484"/>
      <c r="Z62" s="484"/>
      <c r="AA62" s="484"/>
      <c r="AB62" s="484"/>
      <c r="AC62" s="484"/>
    </row>
    <row r="63" spans="1:29" ht="14.25" thickBot="1" x14ac:dyDescent="0.35">
      <c r="A63" s="481"/>
      <c r="B63" s="486"/>
      <c r="C63" s="481"/>
      <c r="D63" s="480"/>
      <c r="E63" s="487"/>
      <c r="F63" s="487"/>
      <c r="G63" s="487"/>
      <c r="H63" s="487"/>
      <c r="I63" s="487"/>
      <c r="J63" s="487"/>
      <c r="K63" s="487"/>
      <c r="L63" s="487"/>
      <c r="M63" s="487"/>
      <c r="N63" s="487"/>
      <c r="O63" s="487"/>
      <c r="P63" s="487"/>
      <c r="Q63" s="487"/>
      <c r="R63" s="487"/>
      <c r="S63" s="487"/>
      <c r="T63" s="480"/>
      <c r="U63" s="480"/>
      <c r="V63" s="480"/>
      <c r="W63" s="480"/>
      <c r="X63" s="480"/>
      <c r="Y63" s="480"/>
      <c r="Z63" s="480"/>
      <c r="AA63" s="480"/>
      <c r="AB63" s="480"/>
      <c r="AC63" s="480"/>
    </row>
    <row r="64" spans="1:29" s="481" customFormat="1" ht="12.75" customHeight="1" x14ac:dyDescent="0.3">
      <c r="B64" s="529" t="s">
        <v>29</v>
      </c>
      <c r="C64" s="524" t="str">
        <f>C52</f>
        <v>Přírůstkové celkové provozní náklady (CZK)</v>
      </c>
      <c r="D64" s="525"/>
      <c r="E64" s="2350">
        <f>S52+1</f>
        <v>2036</v>
      </c>
      <c r="F64" s="2344">
        <f t="shared" ref="F64:S64" si="38">E64+1</f>
        <v>2037</v>
      </c>
      <c r="G64" s="2344">
        <f t="shared" si="38"/>
        <v>2038</v>
      </c>
      <c r="H64" s="2344">
        <f t="shared" si="38"/>
        <v>2039</v>
      </c>
      <c r="I64" s="2344">
        <f t="shared" si="38"/>
        <v>2040</v>
      </c>
      <c r="J64" s="2344">
        <f t="shared" si="38"/>
        <v>2041</v>
      </c>
      <c r="K64" s="2344">
        <f t="shared" si="38"/>
        <v>2042</v>
      </c>
      <c r="L64" s="2344">
        <f t="shared" si="38"/>
        <v>2043</v>
      </c>
      <c r="M64" s="2344">
        <f t="shared" si="38"/>
        <v>2044</v>
      </c>
      <c r="N64" s="2344">
        <f t="shared" si="38"/>
        <v>2045</v>
      </c>
      <c r="O64" s="2344">
        <f t="shared" si="38"/>
        <v>2046</v>
      </c>
      <c r="P64" s="2344">
        <f t="shared" si="38"/>
        <v>2047</v>
      </c>
      <c r="Q64" s="2344">
        <f t="shared" si="38"/>
        <v>2048</v>
      </c>
      <c r="R64" s="2344">
        <f t="shared" si="38"/>
        <v>2049</v>
      </c>
      <c r="S64" s="2346">
        <f t="shared" si="38"/>
        <v>2050</v>
      </c>
      <c r="T64" s="482"/>
      <c r="U64" s="482"/>
      <c r="V64" s="482"/>
      <c r="W64" s="482"/>
      <c r="X64" s="482"/>
      <c r="Y64" s="482"/>
      <c r="Z64" s="482"/>
      <c r="AA64" s="482"/>
      <c r="AB64" s="482"/>
      <c r="AC64" s="482"/>
    </row>
    <row r="65" spans="1:29" s="481" customFormat="1" ht="12.75" customHeight="1" thickBot="1" x14ac:dyDescent="0.35">
      <c r="B65" s="526" t="s">
        <v>24</v>
      </c>
      <c r="C65" s="527"/>
      <c r="D65" s="530"/>
      <c r="E65" s="2351">
        <f>S53+1</f>
        <v>1</v>
      </c>
      <c r="F65" s="2345"/>
      <c r="G65" s="2345"/>
      <c r="H65" s="2345"/>
      <c r="I65" s="2345"/>
      <c r="J65" s="2345"/>
      <c r="K65" s="2345"/>
      <c r="L65" s="2345"/>
      <c r="M65" s="2345"/>
      <c r="N65" s="2345"/>
      <c r="O65" s="2345"/>
      <c r="P65" s="2345"/>
      <c r="Q65" s="2345"/>
      <c r="R65" s="2345"/>
      <c r="S65" s="2347"/>
      <c r="T65" s="482"/>
      <c r="U65" s="482"/>
      <c r="V65" s="482"/>
      <c r="W65" s="482"/>
      <c r="X65" s="482"/>
      <c r="Y65" s="482"/>
      <c r="Z65" s="482"/>
      <c r="AA65" s="482"/>
      <c r="AB65" s="482"/>
      <c r="AC65" s="482"/>
    </row>
    <row r="66" spans="1:29" s="481" customFormat="1" ht="12.75" customHeight="1" x14ac:dyDescent="0.3">
      <c r="A66" s="500"/>
      <c r="B66" s="547"/>
      <c r="C66" s="543" t="str">
        <f t="shared" ref="C66:C71" si="39">C54</f>
        <v xml:space="preserve">Náklady na provoz VLAKŮ - osobní </v>
      </c>
      <c r="D66" s="552"/>
      <c r="E66" s="556">
        <f>(E16-E41)</f>
        <v>0</v>
      </c>
      <c r="F66" s="557">
        <f t="shared" ref="F66:S66" si="40">(F16-F41)</f>
        <v>0</v>
      </c>
      <c r="G66" s="557">
        <f t="shared" si="40"/>
        <v>0</v>
      </c>
      <c r="H66" s="557">
        <f t="shared" si="40"/>
        <v>0</v>
      </c>
      <c r="I66" s="557">
        <f t="shared" si="40"/>
        <v>0</v>
      </c>
      <c r="J66" s="557">
        <f t="shared" si="40"/>
        <v>0</v>
      </c>
      <c r="K66" s="557">
        <f t="shared" si="40"/>
        <v>0</v>
      </c>
      <c r="L66" s="557">
        <f t="shared" si="40"/>
        <v>0</v>
      </c>
      <c r="M66" s="557">
        <f t="shared" si="40"/>
        <v>0</v>
      </c>
      <c r="N66" s="557">
        <f t="shared" si="40"/>
        <v>0</v>
      </c>
      <c r="O66" s="557">
        <f t="shared" si="40"/>
        <v>0</v>
      </c>
      <c r="P66" s="557">
        <f t="shared" si="40"/>
        <v>0</v>
      </c>
      <c r="Q66" s="557">
        <f t="shared" si="40"/>
        <v>0</v>
      </c>
      <c r="R66" s="557">
        <f t="shared" si="40"/>
        <v>0</v>
      </c>
      <c r="S66" s="558">
        <f t="shared" si="40"/>
        <v>0</v>
      </c>
      <c r="T66" s="480"/>
      <c r="U66" s="480"/>
      <c r="V66" s="480"/>
      <c r="W66" s="480"/>
      <c r="X66" s="480"/>
      <c r="Y66" s="480"/>
      <c r="Z66" s="480"/>
      <c r="AA66" s="480"/>
      <c r="AB66" s="480"/>
      <c r="AC66" s="480"/>
    </row>
    <row r="67" spans="1:29" s="481" customFormat="1" ht="12.75" customHeight="1" x14ac:dyDescent="0.3">
      <c r="A67" s="500"/>
      <c r="B67" s="548"/>
      <c r="C67" s="543" t="str">
        <f t="shared" si="39"/>
        <v>Náklady na provoz VLAKŮ - nákladní</v>
      </c>
      <c r="D67" s="553"/>
      <c r="E67" s="559">
        <f>(E17-E42)</f>
        <v>6570432.5007642182</v>
      </c>
      <c r="F67" s="560">
        <f t="shared" ref="F67:S67" si="41">(F17-F42)</f>
        <v>6570432.5007642182</v>
      </c>
      <c r="G67" s="560">
        <f t="shared" si="41"/>
        <v>6570432.5007642182</v>
      </c>
      <c r="H67" s="560">
        <f t="shared" si="41"/>
        <v>6570432.5007642182</v>
      </c>
      <c r="I67" s="560">
        <f t="shared" si="41"/>
        <v>6570432.5007642182</v>
      </c>
      <c r="J67" s="560">
        <f t="shared" si="41"/>
        <v>6570432.5007642182</v>
      </c>
      <c r="K67" s="560">
        <f t="shared" si="41"/>
        <v>6570432.5007642182</v>
      </c>
      <c r="L67" s="560">
        <f t="shared" si="41"/>
        <v>6570432.5007642182</v>
      </c>
      <c r="M67" s="560">
        <f t="shared" si="41"/>
        <v>6570432.5007642182</v>
      </c>
      <c r="N67" s="560">
        <f t="shared" si="41"/>
        <v>6570432.5007642182</v>
      </c>
      <c r="O67" s="560">
        <f t="shared" si="41"/>
        <v>6570432.5007642182</v>
      </c>
      <c r="P67" s="560">
        <f t="shared" si="41"/>
        <v>6570432.5007642182</v>
      </c>
      <c r="Q67" s="560">
        <f t="shared" si="41"/>
        <v>6570432.5007642182</v>
      </c>
      <c r="R67" s="560">
        <f t="shared" si="41"/>
        <v>6570432.5007642182</v>
      </c>
      <c r="S67" s="561">
        <f t="shared" si="41"/>
        <v>6570432.5007642182</v>
      </c>
      <c r="T67" s="480"/>
      <c r="U67" s="480"/>
      <c r="V67" s="480"/>
      <c r="W67" s="480"/>
      <c r="X67" s="480"/>
      <c r="Y67" s="480"/>
      <c r="Z67" s="480"/>
      <c r="AA67" s="480"/>
      <c r="AB67" s="480"/>
      <c r="AC67" s="480"/>
    </row>
    <row r="68" spans="1:29" s="481" customFormat="1" ht="12.75" customHeight="1" x14ac:dyDescent="0.3">
      <c r="A68" s="500"/>
      <c r="B68" s="548"/>
      <c r="C68" s="543" t="str">
        <f t="shared" si="39"/>
        <v>Náklady na provoz SILNIČNÍCH vozidel - osobní</v>
      </c>
      <c r="D68" s="553"/>
      <c r="E68" s="559">
        <f>(E18-E43)+('Vstupy z HDM-4 a EXNAD'!I23-'Vstupy z HDM-4 a EXNAD'!D23)/'12 Ekonomická analýza (ERR)'!F43*1000000</f>
        <v>0</v>
      </c>
      <c r="F68" s="560">
        <f>(F18-F43)+('Vstupy z HDM-4 a EXNAD'!I24-'Vstupy z HDM-4 a EXNAD'!D24)/'12 Ekonomická analýza (ERR)'!G43*1000000</f>
        <v>0</v>
      </c>
      <c r="G68" s="560">
        <f>(G18-G43)+('Vstupy z HDM-4 a EXNAD'!I25-'Vstupy z HDM-4 a EXNAD'!D25)/'12 Ekonomická analýza (ERR)'!H43*1000000</f>
        <v>0</v>
      </c>
      <c r="H68" s="560">
        <f>(H18-H43)+('Vstupy z HDM-4 a EXNAD'!I26-'Vstupy z HDM-4 a EXNAD'!D26)/'12 Ekonomická analýza (ERR)'!I43*1000000</f>
        <v>0</v>
      </c>
      <c r="I68" s="560">
        <f>(I18-I43)+('Vstupy z HDM-4 a EXNAD'!I27-'Vstupy z HDM-4 a EXNAD'!D27)/'12 Ekonomická analýza (ERR)'!J43*1000000</f>
        <v>0</v>
      </c>
      <c r="J68" s="560">
        <f>(J18-J43)+('Vstupy z HDM-4 a EXNAD'!I28-'Vstupy z HDM-4 a EXNAD'!D28)/'12 Ekonomická analýza (ERR)'!K43*1000000</f>
        <v>0</v>
      </c>
      <c r="K68" s="560">
        <f>(K18-K43)+('Vstupy z HDM-4 a EXNAD'!I29-'Vstupy z HDM-4 a EXNAD'!D29)/'12 Ekonomická analýza (ERR)'!L43*1000000</f>
        <v>0</v>
      </c>
      <c r="L68" s="560">
        <f>(L18-L43)+('Vstupy z HDM-4 a EXNAD'!I30-'Vstupy z HDM-4 a EXNAD'!D30)/'12 Ekonomická analýza (ERR)'!M43*1000000</f>
        <v>0</v>
      </c>
      <c r="M68" s="560">
        <f>(M18-M43)+('Vstupy z HDM-4 a EXNAD'!I31-'Vstupy z HDM-4 a EXNAD'!D31)/'12 Ekonomická analýza (ERR)'!N43*1000000</f>
        <v>0</v>
      </c>
      <c r="N68" s="560">
        <f>(N18-N43)+('Vstupy z HDM-4 a EXNAD'!I32-'Vstupy z HDM-4 a EXNAD'!D32)/'12 Ekonomická analýza (ERR)'!O43*1000000</f>
        <v>0</v>
      </c>
      <c r="O68" s="560">
        <f>(O18-O43)+('Vstupy z HDM-4 a EXNAD'!I33-'Vstupy z HDM-4 a EXNAD'!D33)/'12 Ekonomická analýza (ERR)'!P43*1000000</f>
        <v>0</v>
      </c>
      <c r="P68" s="560">
        <f>(P18-P43)+('Vstupy z HDM-4 a EXNAD'!I34-'Vstupy z HDM-4 a EXNAD'!D34)/'12 Ekonomická analýza (ERR)'!Q43*1000000</f>
        <v>0</v>
      </c>
      <c r="Q68" s="560">
        <f>(Q18-Q43)+('Vstupy z HDM-4 a EXNAD'!I35-'Vstupy z HDM-4 a EXNAD'!D35)/'12 Ekonomická analýza (ERR)'!R43*1000000</f>
        <v>0</v>
      </c>
      <c r="R68" s="560">
        <f>(R18-R43)+('Vstupy z HDM-4 a EXNAD'!I36-'Vstupy z HDM-4 a EXNAD'!D36)/'12 Ekonomická analýza (ERR)'!S43*1000000</f>
        <v>0</v>
      </c>
      <c r="S68" s="561">
        <f>(S18-S43)+('Vstupy z HDM-4 a EXNAD'!I37-'Vstupy z HDM-4 a EXNAD'!D37)/'12 Ekonomická analýza (ERR)'!T43*1000000</f>
        <v>0</v>
      </c>
      <c r="T68" s="480"/>
      <c r="U68" s="480"/>
      <c r="V68" s="480"/>
      <c r="W68" s="480"/>
      <c r="X68" s="480"/>
      <c r="Y68" s="480"/>
      <c r="Z68" s="480"/>
      <c r="AA68" s="480"/>
      <c r="AB68" s="480"/>
      <c r="AC68" s="480"/>
    </row>
    <row r="69" spans="1:29" s="481" customFormat="1" ht="12.75" customHeight="1" x14ac:dyDescent="0.3">
      <c r="A69" s="500"/>
      <c r="B69" s="548"/>
      <c r="C69" s="543" t="str">
        <f t="shared" si="39"/>
        <v>Náklady na provoz SILNIČNÍCH vozidel - nákladní</v>
      </c>
      <c r="D69" s="553"/>
      <c r="E69" s="559">
        <f>(E19-E44)</f>
        <v>-12697405.952865165</v>
      </c>
      <c r="F69" s="560">
        <f t="shared" ref="F69:S69" si="42">(F19-F44)</f>
        <v>-12697405.952865165</v>
      </c>
      <c r="G69" s="560">
        <f t="shared" si="42"/>
        <v>-12697405.952865165</v>
      </c>
      <c r="H69" s="560">
        <f t="shared" si="42"/>
        <v>-12697405.952865165</v>
      </c>
      <c r="I69" s="560">
        <f t="shared" si="42"/>
        <v>-12697405.952865165</v>
      </c>
      <c r="J69" s="560">
        <f t="shared" si="42"/>
        <v>-12697405.952865165</v>
      </c>
      <c r="K69" s="560">
        <f t="shared" si="42"/>
        <v>-12697405.952865165</v>
      </c>
      <c r="L69" s="560">
        <f t="shared" si="42"/>
        <v>-12697405.952865165</v>
      </c>
      <c r="M69" s="560">
        <f t="shared" si="42"/>
        <v>-12697405.952865165</v>
      </c>
      <c r="N69" s="560">
        <f t="shared" si="42"/>
        <v>-12697405.952865165</v>
      </c>
      <c r="O69" s="560">
        <f t="shared" si="42"/>
        <v>-12697405.952865165</v>
      </c>
      <c r="P69" s="560">
        <f t="shared" si="42"/>
        <v>-12697405.952865165</v>
      </c>
      <c r="Q69" s="560">
        <f t="shared" si="42"/>
        <v>-12697405.952865165</v>
      </c>
      <c r="R69" s="560">
        <f t="shared" si="42"/>
        <v>-12697405.952865165</v>
      </c>
      <c r="S69" s="561">
        <f t="shared" si="42"/>
        <v>-12697405.952865165</v>
      </c>
      <c r="T69" s="480"/>
      <c r="U69" s="480"/>
      <c r="V69" s="480"/>
      <c r="W69" s="480"/>
      <c r="X69" s="480"/>
      <c r="Y69" s="480"/>
      <c r="Z69" s="480"/>
      <c r="AA69" s="480"/>
      <c r="AB69" s="480"/>
      <c r="AC69" s="480"/>
    </row>
    <row r="70" spans="1:29" s="481" customFormat="1" ht="12.75" customHeight="1" x14ac:dyDescent="0.3">
      <c r="A70" s="500"/>
      <c r="B70" s="548"/>
      <c r="C70" s="543" t="str">
        <f t="shared" si="39"/>
        <v>Náklady na provoz PLAVIDEL - osobní</v>
      </c>
      <c r="D70" s="553"/>
      <c r="E70" s="559">
        <f>(E20-E45)</f>
        <v>0</v>
      </c>
      <c r="F70" s="560">
        <f t="shared" ref="F70:S70" si="43">(F20-F45)</f>
        <v>0</v>
      </c>
      <c r="G70" s="560">
        <f t="shared" si="43"/>
        <v>0</v>
      </c>
      <c r="H70" s="560">
        <f t="shared" si="43"/>
        <v>0</v>
      </c>
      <c r="I70" s="560">
        <f t="shared" si="43"/>
        <v>0</v>
      </c>
      <c r="J70" s="560">
        <f t="shared" si="43"/>
        <v>0</v>
      </c>
      <c r="K70" s="560">
        <f t="shared" si="43"/>
        <v>0</v>
      </c>
      <c r="L70" s="560">
        <f t="shared" si="43"/>
        <v>0</v>
      </c>
      <c r="M70" s="560">
        <f t="shared" si="43"/>
        <v>0</v>
      </c>
      <c r="N70" s="560">
        <f t="shared" si="43"/>
        <v>0</v>
      </c>
      <c r="O70" s="560">
        <f t="shared" si="43"/>
        <v>0</v>
      </c>
      <c r="P70" s="560">
        <f t="shared" si="43"/>
        <v>0</v>
      </c>
      <c r="Q70" s="560">
        <f t="shared" si="43"/>
        <v>0</v>
      </c>
      <c r="R70" s="560">
        <f t="shared" si="43"/>
        <v>0</v>
      </c>
      <c r="S70" s="561">
        <f t="shared" si="43"/>
        <v>0</v>
      </c>
      <c r="T70" s="480"/>
      <c r="U70" s="480"/>
      <c r="V70" s="480"/>
      <c r="W70" s="480"/>
      <c r="X70" s="480"/>
      <c r="Y70" s="480"/>
      <c r="Z70" s="480"/>
      <c r="AA70" s="480"/>
      <c r="AB70" s="480"/>
      <c r="AC70" s="480"/>
    </row>
    <row r="71" spans="1:29" s="481" customFormat="1" ht="12.75" customHeight="1" x14ac:dyDescent="0.3">
      <c r="A71" s="500"/>
      <c r="B71" s="548"/>
      <c r="C71" s="543" t="str">
        <f t="shared" si="39"/>
        <v>Náklady na provoz PLAVIDEL - nákladní</v>
      </c>
      <c r="D71" s="553"/>
      <c r="E71" s="559">
        <f>(E21-E46)</f>
        <v>0</v>
      </c>
      <c r="F71" s="560">
        <f t="shared" ref="F71:S71" si="44">(F21-F46)</f>
        <v>0</v>
      </c>
      <c r="G71" s="560">
        <f t="shared" si="44"/>
        <v>0</v>
      </c>
      <c r="H71" s="560">
        <f t="shared" si="44"/>
        <v>0</v>
      </c>
      <c r="I71" s="560">
        <f t="shared" si="44"/>
        <v>0</v>
      </c>
      <c r="J71" s="560">
        <f t="shared" si="44"/>
        <v>0</v>
      </c>
      <c r="K71" s="560">
        <f t="shared" si="44"/>
        <v>0</v>
      </c>
      <c r="L71" s="560">
        <f t="shared" si="44"/>
        <v>0</v>
      </c>
      <c r="M71" s="560">
        <f t="shared" si="44"/>
        <v>0</v>
      </c>
      <c r="N71" s="560">
        <f t="shared" si="44"/>
        <v>0</v>
      </c>
      <c r="O71" s="560">
        <f t="shared" si="44"/>
        <v>0</v>
      </c>
      <c r="P71" s="560">
        <f t="shared" si="44"/>
        <v>0</v>
      </c>
      <c r="Q71" s="560">
        <f t="shared" si="44"/>
        <v>0</v>
      </c>
      <c r="R71" s="560">
        <f t="shared" si="44"/>
        <v>0</v>
      </c>
      <c r="S71" s="561">
        <f t="shared" si="44"/>
        <v>0</v>
      </c>
      <c r="T71" s="480"/>
      <c r="U71" s="480"/>
      <c r="V71" s="480"/>
      <c r="W71" s="480"/>
      <c r="X71" s="480"/>
      <c r="Y71" s="480"/>
      <c r="Z71" s="480"/>
      <c r="AA71" s="480"/>
      <c r="AB71" s="480"/>
      <c r="AC71" s="480"/>
    </row>
    <row r="72" spans="1:29" s="481" customFormat="1" ht="12.75" customHeight="1" x14ac:dyDescent="0.3">
      <c r="A72" s="500"/>
      <c r="B72" s="548"/>
      <c r="C72" s="543" t="str">
        <f>IF('0 Úvod'!$M$10="English",Slovnik!D733,Slovnik!C733)</f>
        <v>Náklady na provoz MĚSTSKÝCH AUTOBUSŮ</v>
      </c>
      <c r="D72" s="553"/>
      <c r="E72" s="559">
        <f t="shared" ref="E72:E73" si="45">(E22-E47)</f>
        <v>0</v>
      </c>
      <c r="F72" s="560">
        <f t="shared" ref="F72:S72" si="46">(F22-F47)</f>
        <v>0</v>
      </c>
      <c r="G72" s="560">
        <f t="shared" si="46"/>
        <v>0</v>
      </c>
      <c r="H72" s="560">
        <f t="shared" si="46"/>
        <v>0</v>
      </c>
      <c r="I72" s="560">
        <f t="shared" si="46"/>
        <v>0</v>
      </c>
      <c r="J72" s="560">
        <f t="shared" si="46"/>
        <v>0</v>
      </c>
      <c r="K72" s="560">
        <f t="shared" si="46"/>
        <v>0</v>
      </c>
      <c r="L72" s="560">
        <f t="shared" si="46"/>
        <v>0</v>
      </c>
      <c r="M72" s="560">
        <f t="shared" si="46"/>
        <v>0</v>
      </c>
      <c r="N72" s="560">
        <f t="shared" si="46"/>
        <v>0</v>
      </c>
      <c r="O72" s="560">
        <f t="shared" si="46"/>
        <v>0</v>
      </c>
      <c r="P72" s="560">
        <f t="shared" si="46"/>
        <v>0</v>
      </c>
      <c r="Q72" s="560">
        <f t="shared" si="46"/>
        <v>0</v>
      </c>
      <c r="R72" s="560">
        <f t="shared" si="46"/>
        <v>0</v>
      </c>
      <c r="S72" s="561">
        <f t="shared" si="46"/>
        <v>0</v>
      </c>
      <c r="T72" s="480"/>
      <c r="U72" s="480"/>
      <c r="V72" s="480"/>
      <c r="W72" s="480"/>
      <c r="X72" s="480"/>
      <c r="Y72" s="480"/>
      <c r="Z72" s="480"/>
      <c r="AA72" s="480"/>
      <c r="AB72" s="480"/>
      <c r="AC72" s="480"/>
    </row>
    <row r="73" spans="1:29" s="481" customFormat="1" ht="12.75" customHeight="1" x14ac:dyDescent="0.3">
      <c r="A73" s="500"/>
      <c r="B73" s="1851"/>
      <c r="C73" s="1838" t="str">
        <f>IF('0 Úvod'!$M$10="English",Slovnik!D734,Slovnik!C734)</f>
        <v>Náklady na provoz TRAMVAJÍ, TROLEJBUSŮ, METRA</v>
      </c>
      <c r="D73" s="1856"/>
      <c r="E73" s="1852">
        <f t="shared" si="45"/>
        <v>0</v>
      </c>
      <c r="F73" s="1853">
        <f t="shared" ref="F73:S73" si="47">(F23-F48)</f>
        <v>0</v>
      </c>
      <c r="G73" s="1853">
        <f t="shared" si="47"/>
        <v>0</v>
      </c>
      <c r="H73" s="1853">
        <f t="shared" si="47"/>
        <v>0</v>
      </c>
      <c r="I73" s="1853">
        <f t="shared" si="47"/>
        <v>0</v>
      </c>
      <c r="J73" s="1853">
        <f t="shared" si="47"/>
        <v>0</v>
      </c>
      <c r="K73" s="1853">
        <f t="shared" si="47"/>
        <v>0</v>
      </c>
      <c r="L73" s="1853">
        <f t="shared" si="47"/>
        <v>0</v>
      </c>
      <c r="M73" s="1853">
        <f t="shared" si="47"/>
        <v>0</v>
      </c>
      <c r="N73" s="1853">
        <f t="shared" si="47"/>
        <v>0</v>
      </c>
      <c r="O73" s="1853">
        <f t="shared" si="47"/>
        <v>0</v>
      </c>
      <c r="P73" s="1853">
        <f t="shared" si="47"/>
        <v>0</v>
      </c>
      <c r="Q73" s="1853">
        <f t="shared" si="47"/>
        <v>0</v>
      </c>
      <c r="R73" s="1853">
        <f t="shared" si="47"/>
        <v>0</v>
      </c>
      <c r="S73" s="1854">
        <f t="shared" si="47"/>
        <v>0</v>
      </c>
      <c r="T73" s="480"/>
      <c r="U73" s="480"/>
      <c r="V73" s="480"/>
      <c r="W73" s="480"/>
      <c r="X73" s="480"/>
      <c r="Y73" s="480"/>
      <c r="Z73" s="480"/>
      <c r="AA73" s="480"/>
      <c r="AB73" s="480"/>
      <c r="AC73" s="480"/>
    </row>
    <row r="74" spans="1:29" ht="15" thickBot="1" x14ac:dyDescent="0.35">
      <c r="A74" s="481"/>
      <c r="B74" s="1845"/>
      <c r="C74" s="1846" t="str">
        <f t="shared" ref="C74" si="48">C62</f>
        <v>Přírůstkové celkové PN vozidel</v>
      </c>
      <c r="D74" s="1855"/>
      <c r="E74" s="1848">
        <f>SUM(E66:E73)</f>
        <v>-6126973.4521009466</v>
      </c>
      <c r="F74" s="1849">
        <f t="shared" ref="F74:S74" si="49">SUM(F66:F73)</f>
        <v>-6126973.4521009466</v>
      </c>
      <c r="G74" s="1849">
        <f t="shared" si="49"/>
        <v>-6126973.4521009466</v>
      </c>
      <c r="H74" s="1849">
        <f t="shared" si="49"/>
        <v>-6126973.4521009466</v>
      </c>
      <c r="I74" s="1849">
        <f t="shared" si="49"/>
        <v>-6126973.4521009466</v>
      </c>
      <c r="J74" s="1849">
        <f t="shared" si="49"/>
        <v>-6126973.4521009466</v>
      </c>
      <c r="K74" s="1849">
        <f t="shared" si="49"/>
        <v>-6126973.4521009466</v>
      </c>
      <c r="L74" s="1849">
        <f t="shared" si="49"/>
        <v>-6126973.4521009466</v>
      </c>
      <c r="M74" s="1849">
        <f t="shared" si="49"/>
        <v>-6126973.4521009466</v>
      </c>
      <c r="N74" s="1849">
        <f t="shared" si="49"/>
        <v>-6126973.4521009466</v>
      </c>
      <c r="O74" s="1849">
        <f t="shared" si="49"/>
        <v>-6126973.4521009466</v>
      </c>
      <c r="P74" s="1849">
        <f t="shared" si="49"/>
        <v>-6126973.4521009466</v>
      </c>
      <c r="Q74" s="1849">
        <f t="shared" si="49"/>
        <v>-6126973.4521009466</v>
      </c>
      <c r="R74" s="1849">
        <f t="shared" si="49"/>
        <v>-6126973.4521009466</v>
      </c>
      <c r="S74" s="1850">
        <f t="shared" si="49"/>
        <v>-6126973.4521009466</v>
      </c>
      <c r="T74" s="484"/>
      <c r="U74" s="484"/>
      <c r="V74" s="484"/>
      <c r="W74" s="484"/>
      <c r="X74" s="484"/>
      <c r="Y74" s="484"/>
      <c r="Z74" s="484"/>
      <c r="AA74" s="484"/>
      <c r="AB74" s="484"/>
      <c r="AC74" s="484"/>
    </row>
    <row r="75" spans="1:29" ht="14.25" x14ac:dyDescent="0.3">
      <c r="A75" s="481"/>
      <c r="B75" s="489"/>
      <c r="C75" s="501"/>
      <c r="D75" s="502"/>
      <c r="E75" s="485"/>
      <c r="F75" s="485"/>
      <c r="G75" s="485"/>
      <c r="H75" s="485"/>
      <c r="I75" s="485"/>
      <c r="J75" s="485"/>
      <c r="K75" s="485"/>
      <c r="L75" s="485"/>
      <c r="M75" s="485"/>
      <c r="N75" s="485"/>
      <c r="O75" s="485"/>
      <c r="P75" s="485"/>
      <c r="Q75" s="485"/>
      <c r="R75" s="485"/>
      <c r="S75" s="485"/>
    </row>
    <row r="76" spans="1:29" ht="14.25" thickBot="1" x14ac:dyDescent="0.35">
      <c r="A76" s="481"/>
      <c r="B76" s="489"/>
      <c r="D76" s="480"/>
      <c r="E76" s="480"/>
      <c r="F76" s="480"/>
      <c r="G76" s="480"/>
      <c r="H76" s="480"/>
      <c r="I76" s="480"/>
      <c r="J76" s="480"/>
      <c r="K76" s="480"/>
      <c r="L76" s="480"/>
      <c r="M76" s="480"/>
      <c r="N76" s="480"/>
      <c r="O76" s="480"/>
      <c r="P76" s="480"/>
      <c r="Q76" s="480"/>
      <c r="R76" s="480"/>
      <c r="S76" s="480"/>
    </row>
    <row r="77" spans="1:29" ht="14.25" x14ac:dyDescent="0.3">
      <c r="A77" s="481"/>
      <c r="B77" s="568"/>
      <c r="C77" s="569" t="str">
        <f>IF('0 Úvod'!$M$10="English",Slovnik!D179,Slovnik!C179)</f>
        <v>Scénář s projektem (CZK)</v>
      </c>
      <c r="D77" s="522">
        <f>D12</f>
        <v>159888868.86063701</v>
      </c>
    </row>
    <row r="78" spans="1:29" ht="14.25" x14ac:dyDescent="0.3">
      <c r="B78" s="570"/>
      <c r="C78" s="571" t="str">
        <f>IF('0 Úvod'!$M$10="English",Slovnik!D180,Slovnik!C180)</f>
        <v>Scénář bez projektu (CZK)</v>
      </c>
      <c r="D78" s="521">
        <f>D37</f>
        <v>315249176.99239486</v>
      </c>
    </row>
    <row r="79" spans="1:29" ht="15" thickBot="1" x14ac:dyDescent="0.35">
      <c r="B79" s="572"/>
      <c r="C79" s="573" t="str">
        <f>IF('0 Úvod'!$M$10="English",Slovnik!D181,Slovnik!C181)</f>
        <v>Přírůstkové cash-flow (CZK)</v>
      </c>
      <c r="D79" s="520">
        <f>D62</f>
        <v>-155360308.13175789</v>
      </c>
      <c r="E79" s="487"/>
    </row>
    <row r="81" spans="1:30" ht="14.25" thickBot="1" x14ac:dyDescent="0.35">
      <c r="J81" s="25">
        <v>0.20655830182059179</v>
      </c>
      <c r="T81" s="480"/>
      <c r="U81" s="480"/>
      <c r="V81" s="480"/>
      <c r="W81" s="480"/>
      <c r="X81" s="480"/>
      <c r="Y81" s="480"/>
      <c r="Z81" s="480"/>
      <c r="AA81" s="480"/>
      <c r="AB81" s="480"/>
      <c r="AC81" s="481"/>
      <c r="AD81" s="481"/>
    </row>
    <row r="82" spans="1:30" ht="14.25" x14ac:dyDescent="0.3">
      <c r="B82" s="509" t="s">
        <v>168</v>
      </c>
      <c r="C82" s="531" t="str">
        <f>IF('0 Úvod'!$M$10="English",Slovnik!$D$182,Slovnik!$C$182)</f>
        <v>Celkové výkony</v>
      </c>
      <c r="D82" s="511"/>
      <c r="E82" s="2336">
        <f>E52</f>
        <v>2021</v>
      </c>
      <c r="F82" s="2336">
        <f t="shared" ref="F82:S82" si="50">E82+1</f>
        <v>2022</v>
      </c>
      <c r="G82" s="2336">
        <f t="shared" si="50"/>
        <v>2023</v>
      </c>
      <c r="H82" s="2336">
        <f t="shared" si="50"/>
        <v>2024</v>
      </c>
      <c r="I82" s="2336">
        <f t="shared" si="50"/>
        <v>2025</v>
      </c>
      <c r="J82" s="2336">
        <f t="shared" si="50"/>
        <v>2026</v>
      </c>
      <c r="K82" s="2336">
        <f t="shared" si="50"/>
        <v>2027</v>
      </c>
      <c r="L82" s="2336">
        <f t="shared" si="50"/>
        <v>2028</v>
      </c>
      <c r="M82" s="2336">
        <f t="shared" si="50"/>
        <v>2029</v>
      </c>
      <c r="N82" s="2336">
        <f t="shared" si="50"/>
        <v>2030</v>
      </c>
      <c r="O82" s="2336">
        <f t="shared" si="50"/>
        <v>2031</v>
      </c>
      <c r="P82" s="2336">
        <f t="shared" si="50"/>
        <v>2032</v>
      </c>
      <c r="Q82" s="2336">
        <f t="shared" si="50"/>
        <v>2033</v>
      </c>
      <c r="R82" s="2336">
        <f t="shared" si="50"/>
        <v>2034</v>
      </c>
      <c r="S82" s="2340">
        <f t="shared" si="50"/>
        <v>2035</v>
      </c>
      <c r="T82" s="480"/>
      <c r="U82" s="480"/>
      <c r="V82" s="480"/>
      <c r="W82" s="480"/>
      <c r="X82" s="480"/>
      <c r="Y82" s="480"/>
      <c r="Z82" s="480"/>
      <c r="AA82" s="480"/>
      <c r="AB82" s="480"/>
      <c r="AC82" s="481"/>
      <c r="AD82" s="481"/>
    </row>
    <row r="83" spans="1:30" ht="15" thickBot="1" x14ac:dyDescent="0.35">
      <c r="B83" s="512" t="s">
        <v>23</v>
      </c>
      <c r="C83" s="1966" t="str">
        <f>C15</f>
        <v>Scénář s projektem</v>
      </c>
      <c r="D83" s="514" t="str">
        <f>D53</f>
        <v>Celkem</v>
      </c>
      <c r="E83" s="2337"/>
      <c r="F83" s="2337"/>
      <c r="G83" s="2337"/>
      <c r="H83" s="2337"/>
      <c r="I83" s="2337"/>
      <c r="J83" s="2337"/>
      <c r="K83" s="2337"/>
      <c r="L83" s="2337"/>
      <c r="M83" s="2337"/>
      <c r="N83" s="2337"/>
      <c r="O83" s="2337"/>
      <c r="P83" s="2337"/>
      <c r="Q83" s="2337"/>
      <c r="R83" s="2337"/>
      <c r="S83" s="2341"/>
      <c r="T83" s="480"/>
      <c r="U83" s="480"/>
      <c r="V83" s="480"/>
      <c r="W83" s="480"/>
      <c r="X83" s="480"/>
      <c r="Y83" s="480"/>
      <c r="Z83" s="480"/>
      <c r="AA83" s="480"/>
      <c r="AB83" s="480"/>
      <c r="AC83" s="481"/>
      <c r="AD83" s="481"/>
    </row>
    <row r="84" spans="1:30" ht="14.25" x14ac:dyDescent="0.3">
      <c r="A84" s="1968"/>
      <c r="B84" s="2183">
        <v>70</v>
      </c>
      <c r="C84" s="2184" t="s">
        <v>1407</v>
      </c>
      <c r="D84" s="554">
        <f t="shared" ref="D84:D92" si="51">SUM(E84:S84,E96:S96)</f>
        <v>-210356</v>
      </c>
      <c r="E84" s="2176"/>
      <c r="F84" s="2177"/>
      <c r="G84" s="2177">
        <f>-((2*29+2*28.5)*71*10+(2*29+1*28.5)*68*4)</f>
        <v>-105178</v>
      </c>
      <c r="H84" s="2177"/>
      <c r="I84" s="2177"/>
      <c r="J84" s="2177"/>
      <c r="K84" s="2177"/>
      <c r="L84" s="2177"/>
      <c r="M84" s="2177"/>
      <c r="N84" s="2177"/>
      <c r="O84" s="2177"/>
      <c r="P84" s="2177"/>
      <c r="Q84" s="2177"/>
      <c r="R84" s="2177"/>
      <c r="S84" s="2178"/>
      <c r="T84" s="1969"/>
      <c r="U84" s="480"/>
      <c r="V84" s="480"/>
      <c r="W84" s="480"/>
      <c r="X84" s="480"/>
      <c r="Y84" s="480"/>
      <c r="Z84" s="480"/>
      <c r="AA84" s="480"/>
      <c r="AB84" s="480"/>
      <c r="AC84" s="481"/>
      <c r="AD84" s="481"/>
    </row>
    <row r="85" spans="1:30" ht="14.25" x14ac:dyDescent="0.3">
      <c r="A85" s="1968"/>
      <c r="B85" s="2183"/>
      <c r="C85" s="2185" t="s">
        <v>1408</v>
      </c>
      <c r="D85" s="555">
        <f t="shared" si="51"/>
        <v>66692600</v>
      </c>
      <c r="E85" s="2179"/>
      <c r="F85" s="507"/>
      <c r="G85" s="507"/>
      <c r="H85" s="507"/>
      <c r="I85" s="507"/>
      <c r="J85" s="507">
        <v>2667704</v>
      </c>
      <c r="K85" s="507">
        <v>2667704</v>
      </c>
      <c r="L85" s="507">
        <v>2667704</v>
      </c>
      <c r="M85" s="507">
        <v>2667704</v>
      </c>
      <c r="N85" s="507">
        <v>2667704</v>
      </c>
      <c r="O85" s="507">
        <v>2667704</v>
      </c>
      <c r="P85" s="507">
        <v>2667704</v>
      </c>
      <c r="Q85" s="507">
        <v>2667704</v>
      </c>
      <c r="R85" s="507">
        <v>2667704</v>
      </c>
      <c r="S85" s="2180">
        <v>2667704</v>
      </c>
      <c r="T85" s="1969"/>
      <c r="U85" s="480"/>
      <c r="V85" s="480"/>
      <c r="W85" s="480"/>
      <c r="X85" s="480"/>
      <c r="Y85" s="480"/>
      <c r="Z85" s="480"/>
      <c r="AA85" s="480"/>
      <c r="AB85" s="480"/>
      <c r="AC85" s="481"/>
      <c r="AD85" s="481"/>
    </row>
    <row r="86" spans="1:30" ht="14.25" x14ac:dyDescent="0.3">
      <c r="A86" s="1968"/>
      <c r="B86" s="2183">
        <v>23.891495685057002</v>
      </c>
      <c r="C86" s="2185" t="s">
        <v>1409</v>
      </c>
      <c r="D86" s="555">
        <f t="shared" si="51"/>
        <v>-42752.351999999999</v>
      </c>
      <c r="E86" s="2179"/>
      <c r="F86" s="507"/>
      <c r="G86" s="507">
        <v>-21376.175999999999</v>
      </c>
      <c r="H86" s="507"/>
      <c r="I86" s="507"/>
      <c r="J86" s="507"/>
      <c r="K86" s="507"/>
      <c r="L86" s="507"/>
      <c r="M86" s="507"/>
      <c r="N86" s="507"/>
      <c r="O86" s="507"/>
      <c r="P86" s="507"/>
      <c r="Q86" s="507"/>
      <c r="R86" s="507"/>
      <c r="S86" s="2180"/>
      <c r="T86" s="1969"/>
      <c r="U86" s="480"/>
      <c r="V86" s="480"/>
      <c r="W86" s="480"/>
      <c r="X86" s="480"/>
      <c r="Y86" s="480"/>
      <c r="Z86" s="480"/>
      <c r="AA86" s="480"/>
      <c r="AB86" s="480"/>
      <c r="AC86" s="481"/>
      <c r="AD86" s="481"/>
    </row>
    <row r="87" spans="1:30" ht="14.25" x14ac:dyDescent="0.3">
      <c r="A87" s="1968"/>
      <c r="B87" s="2183">
        <v>3872.8568662010671</v>
      </c>
      <c r="C87" s="2185" t="s">
        <v>1410</v>
      </c>
      <c r="D87" s="555">
        <f t="shared" si="51"/>
        <v>-834.7</v>
      </c>
      <c r="E87" s="2179"/>
      <c r="F87" s="507"/>
      <c r="G87" s="507">
        <v>-417.35</v>
      </c>
      <c r="H87" s="507"/>
      <c r="I87" s="507"/>
      <c r="J87" s="507"/>
      <c r="K87" s="507"/>
      <c r="L87" s="507"/>
      <c r="M87" s="507"/>
      <c r="N87" s="507"/>
      <c r="O87" s="507"/>
      <c r="P87" s="507"/>
      <c r="Q87" s="507"/>
      <c r="R87" s="507"/>
      <c r="S87" s="2180"/>
      <c r="T87" s="1970"/>
      <c r="U87" s="484"/>
      <c r="V87" s="484"/>
      <c r="W87" s="484"/>
      <c r="X87" s="484"/>
      <c r="Y87" s="484"/>
      <c r="Z87" s="484"/>
      <c r="AA87" s="484"/>
      <c r="AB87" s="484"/>
    </row>
    <row r="88" spans="1:30" ht="14.25" x14ac:dyDescent="0.3">
      <c r="A88" s="1968"/>
      <c r="B88" s="2183">
        <v>158.21124232914005</v>
      </c>
      <c r="C88" s="2185" t="s">
        <v>1411</v>
      </c>
      <c r="D88" s="555">
        <f t="shared" si="51"/>
        <v>-33346300</v>
      </c>
      <c r="E88" s="2179"/>
      <c r="F88" s="507"/>
      <c r="G88" s="507"/>
      <c r="H88" s="507"/>
      <c r="I88" s="507"/>
      <c r="J88" s="507">
        <v>-1333852</v>
      </c>
      <c r="K88" s="507">
        <v>-1333852</v>
      </c>
      <c r="L88" s="507">
        <v>-1333852</v>
      </c>
      <c r="M88" s="507">
        <v>-1333852</v>
      </c>
      <c r="N88" s="507">
        <v>-1333852</v>
      </c>
      <c r="O88" s="507">
        <v>-1333852</v>
      </c>
      <c r="P88" s="507">
        <v>-1333852</v>
      </c>
      <c r="Q88" s="507">
        <v>-1333852</v>
      </c>
      <c r="R88" s="507">
        <v>-1333852</v>
      </c>
      <c r="S88" s="2180">
        <v>-1333852</v>
      </c>
      <c r="T88" s="1970"/>
      <c r="U88" s="484"/>
      <c r="V88" s="484"/>
      <c r="W88" s="484"/>
      <c r="X88" s="484"/>
      <c r="Y88" s="484"/>
      <c r="Z88" s="484"/>
      <c r="AA88" s="484"/>
      <c r="AB88" s="484"/>
    </row>
    <row r="89" spans="1:30" ht="14.25" x14ac:dyDescent="0.3">
      <c r="A89" s="1968"/>
      <c r="B89" s="2183">
        <v>5580.5823625029325</v>
      </c>
      <c r="C89" s="2185" t="s">
        <v>1412</v>
      </c>
      <c r="D89" s="555">
        <f t="shared" si="51"/>
        <v>-416828.75000000017</v>
      </c>
      <c r="E89" s="2179"/>
      <c r="F89" s="507"/>
      <c r="G89" s="507"/>
      <c r="H89" s="507"/>
      <c r="I89" s="507"/>
      <c r="J89" s="507">
        <v>-16673.150000000001</v>
      </c>
      <c r="K89" s="507">
        <v>-16673.150000000001</v>
      </c>
      <c r="L89" s="507">
        <v>-16673.150000000001</v>
      </c>
      <c r="M89" s="507">
        <v>-16673.150000000001</v>
      </c>
      <c r="N89" s="507">
        <v>-16673.150000000001</v>
      </c>
      <c r="O89" s="507">
        <v>-16673.150000000001</v>
      </c>
      <c r="P89" s="507">
        <v>-16673.150000000001</v>
      </c>
      <c r="Q89" s="507">
        <v>-16673.150000000001</v>
      </c>
      <c r="R89" s="507">
        <v>-16673.150000000001</v>
      </c>
      <c r="S89" s="2180">
        <v>-16673.150000000001</v>
      </c>
      <c r="T89" s="1970"/>
      <c r="U89" s="484"/>
      <c r="V89" s="484"/>
      <c r="W89" s="484"/>
      <c r="X89" s="484"/>
      <c r="Y89" s="484"/>
      <c r="Z89" s="484"/>
      <c r="AA89" s="484"/>
      <c r="AB89" s="484"/>
    </row>
    <row r="90" spans="1:30" ht="14.25" x14ac:dyDescent="0.3">
      <c r="A90" s="1968"/>
      <c r="B90" s="2183">
        <v>179.30607463969207</v>
      </c>
      <c r="C90" s="2185" t="s">
        <v>1413</v>
      </c>
      <c r="D90" s="555">
        <f t="shared" si="51"/>
        <v>33346300</v>
      </c>
      <c r="E90" s="2179"/>
      <c r="F90" s="507"/>
      <c r="G90" s="507"/>
      <c r="H90" s="507"/>
      <c r="I90" s="507"/>
      <c r="J90" s="507">
        <v>1333852</v>
      </c>
      <c r="K90" s="507">
        <v>1333852</v>
      </c>
      <c r="L90" s="507">
        <v>1333852</v>
      </c>
      <c r="M90" s="507">
        <v>1333852</v>
      </c>
      <c r="N90" s="507">
        <v>1333852</v>
      </c>
      <c r="O90" s="507">
        <v>1333852</v>
      </c>
      <c r="P90" s="507">
        <v>1333852</v>
      </c>
      <c r="Q90" s="507">
        <v>1333852</v>
      </c>
      <c r="R90" s="507">
        <v>1333852</v>
      </c>
      <c r="S90" s="2180">
        <v>1333852</v>
      </c>
      <c r="T90" s="1970"/>
    </row>
    <row r="91" spans="1:30" ht="14.25" x14ac:dyDescent="0.3">
      <c r="A91" s="1968"/>
      <c r="B91" s="2183">
        <v>5800.7993000029337</v>
      </c>
      <c r="C91" s="2186" t="s">
        <v>1414</v>
      </c>
      <c r="D91" s="1839">
        <f t="shared" si="51"/>
        <v>416828.75000000017</v>
      </c>
      <c r="E91" s="2179"/>
      <c r="F91" s="507"/>
      <c r="G91" s="507"/>
      <c r="H91" s="507"/>
      <c r="I91" s="507"/>
      <c r="J91" s="507">
        <v>16673.149999999998</v>
      </c>
      <c r="K91" s="507">
        <v>16673.149999999998</v>
      </c>
      <c r="L91" s="507">
        <v>16673.149999999998</v>
      </c>
      <c r="M91" s="507">
        <v>16673.149999999998</v>
      </c>
      <c r="N91" s="507">
        <v>16673.149999999998</v>
      </c>
      <c r="O91" s="507">
        <v>16673.149999999998</v>
      </c>
      <c r="P91" s="507">
        <v>16673.149999999998</v>
      </c>
      <c r="Q91" s="507">
        <v>16673.149999999998</v>
      </c>
      <c r="R91" s="507">
        <v>16673.149999999998</v>
      </c>
      <c r="S91" s="2180">
        <v>16673.149999999998</v>
      </c>
      <c r="T91" s="1970"/>
    </row>
    <row r="92" spans="1:30" ht="15" thickBot="1" x14ac:dyDescent="0.35">
      <c r="B92" s="534"/>
      <c r="C92" s="1972" t="str">
        <f>D83</f>
        <v>Celkem</v>
      </c>
      <c r="D92" s="516">
        <f t="shared" si="51"/>
        <v>66438656.947999999</v>
      </c>
      <c r="E92" s="535">
        <f>SUM(E84:E91)</f>
        <v>0</v>
      </c>
      <c r="F92" s="1973">
        <f t="shared" ref="F92:S92" si="52">SUM(F84:F91)</f>
        <v>0</v>
      </c>
      <c r="G92" s="1973">
        <f t="shared" si="52"/>
        <v>-126971.52600000001</v>
      </c>
      <c r="H92" s="1973">
        <f t="shared" si="52"/>
        <v>0</v>
      </c>
      <c r="I92" s="1973">
        <f t="shared" si="52"/>
        <v>0</v>
      </c>
      <c r="J92" s="1973">
        <f t="shared" si="52"/>
        <v>2667704</v>
      </c>
      <c r="K92" s="1973">
        <f t="shared" si="52"/>
        <v>2667704</v>
      </c>
      <c r="L92" s="1973">
        <f t="shared" si="52"/>
        <v>2667704</v>
      </c>
      <c r="M92" s="1973">
        <f t="shared" si="52"/>
        <v>2667704</v>
      </c>
      <c r="N92" s="1973">
        <f t="shared" si="52"/>
        <v>2667704</v>
      </c>
      <c r="O92" s="1973">
        <f t="shared" si="52"/>
        <v>2667704</v>
      </c>
      <c r="P92" s="1973">
        <f t="shared" si="52"/>
        <v>2667704</v>
      </c>
      <c r="Q92" s="1973">
        <f t="shared" si="52"/>
        <v>2667704</v>
      </c>
      <c r="R92" s="1973">
        <f t="shared" si="52"/>
        <v>2667704</v>
      </c>
      <c r="S92" s="1974">
        <f t="shared" si="52"/>
        <v>2667704</v>
      </c>
    </row>
    <row r="93" spans="1:30" ht="14.25" thickBot="1" x14ac:dyDescent="0.35">
      <c r="B93" s="503"/>
      <c r="C93" s="481"/>
      <c r="D93" s="480"/>
      <c r="E93" s="487"/>
      <c r="F93" s="487"/>
      <c r="G93" s="487"/>
      <c r="H93" s="487"/>
      <c r="I93" s="487"/>
      <c r="J93" s="487"/>
      <c r="K93" s="487"/>
      <c r="L93" s="487"/>
      <c r="M93" s="487"/>
      <c r="N93" s="487"/>
      <c r="O93" s="487"/>
      <c r="P93" s="487"/>
      <c r="Q93" s="487"/>
      <c r="R93" s="487"/>
      <c r="S93" s="487"/>
    </row>
    <row r="94" spans="1:30" ht="14.25" x14ac:dyDescent="0.3">
      <c r="B94" s="509" t="str">
        <f>B82</f>
        <v>4.4.</v>
      </c>
      <c r="C94" s="510" t="str">
        <f>C82</f>
        <v>Celkové výkony</v>
      </c>
      <c r="D94" s="532"/>
      <c r="E94" s="2334">
        <f>S82+1</f>
        <v>2036</v>
      </c>
      <c r="F94" s="2336">
        <f t="shared" ref="F94:S94" si="53">E94+1</f>
        <v>2037</v>
      </c>
      <c r="G94" s="2336">
        <f t="shared" si="53"/>
        <v>2038</v>
      </c>
      <c r="H94" s="2336">
        <f t="shared" si="53"/>
        <v>2039</v>
      </c>
      <c r="I94" s="2336">
        <f t="shared" si="53"/>
        <v>2040</v>
      </c>
      <c r="J94" s="2336">
        <f t="shared" si="53"/>
        <v>2041</v>
      </c>
      <c r="K94" s="2336">
        <f t="shared" si="53"/>
        <v>2042</v>
      </c>
      <c r="L94" s="2336">
        <f t="shared" si="53"/>
        <v>2043</v>
      </c>
      <c r="M94" s="2336">
        <f t="shared" si="53"/>
        <v>2044</v>
      </c>
      <c r="N94" s="2336">
        <f t="shared" si="53"/>
        <v>2045</v>
      </c>
      <c r="O94" s="2336">
        <f t="shared" si="53"/>
        <v>2046</v>
      </c>
      <c r="P94" s="2336">
        <f t="shared" si="53"/>
        <v>2047</v>
      </c>
      <c r="Q94" s="2336">
        <f t="shared" si="53"/>
        <v>2048</v>
      </c>
      <c r="R94" s="2336">
        <f t="shared" si="53"/>
        <v>2049</v>
      </c>
      <c r="S94" s="2340">
        <f t="shared" si="53"/>
        <v>2050</v>
      </c>
    </row>
    <row r="95" spans="1:30" ht="15" thickBot="1" x14ac:dyDescent="0.35">
      <c r="B95" s="512" t="s">
        <v>24</v>
      </c>
      <c r="C95" s="513" t="str">
        <f>C83</f>
        <v>Scénář s projektem</v>
      </c>
      <c r="D95" s="533"/>
      <c r="E95" s="2335"/>
      <c r="F95" s="2337"/>
      <c r="G95" s="2337"/>
      <c r="H95" s="2337"/>
      <c r="I95" s="2337"/>
      <c r="J95" s="2337"/>
      <c r="K95" s="2337"/>
      <c r="L95" s="2337"/>
      <c r="M95" s="2337"/>
      <c r="N95" s="2337"/>
      <c r="O95" s="2337"/>
      <c r="P95" s="2337"/>
      <c r="Q95" s="2337"/>
      <c r="R95" s="2337"/>
      <c r="S95" s="2341"/>
    </row>
    <row r="96" spans="1:30" ht="14.25" x14ac:dyDescent="0.3">
      <c r="B96" s="294"/>
      <c r="C96" s="295" t="str">
        <f>C84</f>
        <v>Jízdy náhradní autobusové dopravy</v>
      </c>
      <c r="D96" s="1084"/>
      <c r="E96" s="508"/>
      <c r="F96" s="508"/>
      <c r="G96" s="508"/>
      <c r="H96" s="508"/>
      <c r="I96" s="508"/>
      <c r="J96" s="508"/>
      <c r="K96" s="508"/>
      <c r="L96" s="508"/>
      <c r="M96" s="508"/>
      <c r="N96" s="508"/>
      <c r="O96" s="508"/>
      <c r="P96" s="508"/>
      <c r="Q96" s="2177">
        <f>-((2*29+2*28.5)*71*10+(2*29+1*28.5)*68*4)</f>
        <v>-105178</v>
      </c>
      <c r="R96" s="508"/>
      <c r="S96" s="508"/>
      <c r="T96" s="1970"/>
    </row>
    <row r="97" spans="1:39" ht="14.25" x14ac:dyDescent="0.3">
      <c r="B97" s="294"/>
      <c r="C97" s="295" t="str">
        <f t="shared" ref="C97:C102" si="54">C85</f>
        <v>Jízdy nákladních automobilů</v>
      </c>
      <c r="D97" s="255"/>
      <c r="E97" s="2181">
        <v>2667704</v>
      </c>
      <c r="F97" s="508">
        <v>2667704</v>
      </c>
      <c r="G97" s="508">
        <v>2667704</v>
      </c>
      <c r="H97" s="508">
        <v>2667704</v>
      </c>
      <c r="I97" s="508">
        <v>2667704</v>
      </c>
      <c r="J97" s="508">
        <v>2667704</v>
      </c>
      <c r="K97" s="508">
        <v>2667704</v>
      </c>
      <c r="L97" s="508">
        <v>2667704</v>
      </c>
      <c r="M97" s="508">
        <v>2667704</v>
      </c>
      <c r="N97" s="508">
        <v>2667704</v>
      </c>
      <c r="O97" s="508">
        <v>2667704</v>
      </c>
      <c r="P97" s="508">
        <v>2667704</v>
      </c>
      <c r="Q97" s="507">
        <v>2667704</v>
      </c>
      <c r="R97" s="508">
        <v>2667704</v>
      </c>
      <c r="S97" s="2182">
        <v>2667704</v>
      </c>
      <c r="T97" s="1970"/>
    </row>
    <row r="98" spans="1:39" ht="14.25" x14ac:dyDescent="0.3">
      <c r="B98" s="294"/>
      <c r="C98" s="295" t="str">
        <f t="shared" si="54"/>
        <v>Jízdy Os vlaků (km)</v>
      </c>
      <c r="D98" s="255"/>
      <c r="E98" s="2181"/>
      <c r="F98" s="508"/>
      <c r="G98" s="508"/>
      <c r="H98" s="508"/>
      <c r="I98" s="508"/>
      <c r="J98" s="508"/>
      <c r="K98" s="508"/>
      <c r="L98" s="508"/>
      <c r="M98" s="508"/>
      <c r="N98" s="508"/>
      <c r="O98" s="508"/>
      <c r="P98" s="508"/>
      <c r="Q98" s="507">
        <v>-21376.175999999999</v>
      </c>
      <c r="R98" s="508"/>
      <c r="S98" s="2182"/>
      <c r="T98" s="1970"/>
    </row>
    <row r="99" spans="1:39" ht="14.25" x14ac:dyDescent="0.3">
      <c r="B99" s="294"/>
      <c r="C99" s="295" t="str">
        <f t="shared" si="54"/>
        <v>Jízdy Os vlaků (hod)</v>
      </c>
      <c r="D99" s="255"/>
      <c r="E99" s="2181"/>
      <c r="F99" s="508"/>
      <c r="G99" s="508"/>
      <c r="H99" s="508"/>
      <c r="I99" s="508"/>
      <c r="J99" s="508"/>
      <c r="K99" s="508"/>
      <c r="L99" s="508"/>
      <c r="M99" s="508"/>
      <c r="N99" s="508"/>
      <c r="O99" s="508"/>
      <c r="P99" s="508"/>
      <c r="Q99" s="507">
        <v>-417.35</v>
      </c>
      <c r="R99" s="508"/>
      <c r="S99" s="2182"/>
      <c r="T99" s="1970"/>
    </row>
    <row r="100" spans="1:39" ht="14.25" x14ac:dyDescent="0.3">
      <c r="B100" s="294"/>
      <c r="C100" s="295" t="str">
        <f t="shared" si="54"/>
        <v>Jízdy 1500t NEx vlaků (km)</v>
      </c>
      <c r="D100" s="255"/>
      <c r="E100" s="2181">
        <v>-1333852</v>
      </c>
      <c r="F100" s="508">
        <v>-1333852</v>
      </c>
      <c r="G100" s="508">
        <v>-1333852</v>
      </c>
      <c r="H100" s="508">
        <v>-1333852</v>
      </c>
      <c r="I100" s="508">
        <v>-1333852</v>
      </c>
      <c r="J100" s="508">
        <v>-1333852</v>
      </c>
      <c r="K100" s="508">
        <v>-1333852</v>
      </c>
      <c r="L100" s="508">
        <v>-1333852</v>
      </c>
      <c r="M100" s="508">
        <v>-1333852</v>
      </c>
      <c r="N100" s="508">
        <v>-1333852</v>
      </c>
      <c r="O100" s="508">
        <v>-1333852</v>
      </c>
      <c r="P100" s="508">
        <v>-1333852</v>
      </c>
      <c r="Q100" s="508">
        <v>-1333852</v>
      </c>
      <c r="R100" s="508">
        <v>-1333852</v>
      </c>
      <c r="S100" s="2182">
        <v>-1333852</v>
      </c>
      <c r="T100" s="1970"/>
    </row>
    <row r="101" spans="1:39" ht="14.25" x14ac:dyDescent="0.3">
      <c r="B101" s="294"/>
      <c r="C101" s="295" t="str">
        <f t="shared" si="54"/>
        <v>Jízdy 1500t NEx vlaků (hod)</v>
      </c>
      <c r="D101" s="255"/>
      <c r="E101" s="2181">
        <v>-16673.150000000001</v>
      </c>
      <c r="F101" s="508">
        <v>-16673.150000000001</v>
      </c>
      <c r="G101" s="508">
        <v>-16673.150000000001</v>
      </c>
      <c r="H101" s="508">
        <v>-16673.150000000001</v>
      </c>
      <c r="I101" s="508">
        <v>-16673.150000000001</v>
      </c>
      <c r="J101" s="508">
        <v>-16673.150000000001</v>
      </c>
      <c r="K101" s="508">
        <v>-16673.150000000001</v>
      </c>
      <c r="L101" s="508">
        <v>-16673.150000000001</v>
      </c>
      <c r="M101" s="508">
        <v>-16673.150000000001</v>
      </c>
      <c r="N101" s="508">
        <v>-16673.150000000001</v>
      </c>
      <c r="O101" s="508">
        <v>-16673.150000000001</v>
      </c>
      <c r="P101" s="508">
        <v>-16673.150000000001</v>
      </c>
      <c r="Q101" s="508">
        <v>-16673.150000000001</v>
      </c>
      <c r="R101" s="508">
        <v>-16673.150000000001</v>
      </c>
      <c r="S101" s="2182">
        <v>-16673.150000000001</v>
      </c>
      <c r="T101" s="1970"/>
    </row>
    <row r="102" spans="1:39" ht="14.25" x14ac:dyDescent="0.3">
      <c r="B102" s="294"/>
      <c r="C102" s="295" t="str">
        <f t="shared" si="54"/>
        <v>Jízdy 1700t NEx vlaků (km)</v>
      </c>
      <c r="D102" s="255"/>
      <c r="E102" s="2181">
        <v>1333852</v>
      </c>
      <c r="F102" s="508">
        <v>1333852</v>
      </c>
      <c r="G102" s="508">
        <v>1333852</v>
      </c>
      <c r="H102" s="508">
        <v>1333852</v>
      </c>
      <c r="I102" s="508">
        <v>1333852</v>
      </c>
      <c r="J102" s="508">
        <v>1333852</v>
      </c>
      <c r="K102" s="508">
        <v>1333852</v>
      </c>
      <c r="L102" s="508">
        <v>1333852</v>
      </c>
      <c r="M102" s="508">
        <v>1333852</v>
      </c>
      <c r="N102" s="508">
        <v>1333852</v>
      </c>
      <c r="O102" s="508">
        <v>1333852</v>
      </c>
      <c r="P102" s="508">
        <v>1333852</v>
      </c>
      <c r="Q102" s="508">
        <v>1333852</v>
      </c>
      <c r="R102" s="508">
        <v>1333852</v>
      </c>
      <c r="S102" s="2182">
        <v>1333852</v>
      </c>
      <c r="T102" s="1970"/>
    </row>
    <row r="103" spans="1:39" ht="14.25" x14ac:dyDescent="0.3">
      <c r="B103" s="294"/>
      <c r="C103" s="295" t="str">
        <f>C91</f>
        <v>Jízdy 1700t NEx vlaků (hod)</v>
      </c>
      <c r="D103" s="1937"/>
      <c r="E103" s="2181">
        <v>16673.149999999998</v>
      </c>
      <c r="F103" s="508">
        <v>16673.149999999998</v>
      </c>
      <c r="G103" s="508">
        <v>16673.149999999998</v>
      </c>
      <c r="H103" s="508">
        <v>16673.149999999998</v>
      </c>
      <c r="I103" s="508">
        <v>16673.149999999998</v>
      </c>
      <c r="J103" s="508">
        <v>16673.149999999998</v>
      </c>
      <c r="K103" s="508">
        <v>16673.149999999998</v>
      </c>
      <c r="L103" s="508">
        <v>16673.149999999998</v>
      </c>
      <c r="M103" s="508">
        <v>16673.149999999998</v>
      </c>
      <c r="N103" s="508">
        <v>16673.149999999998</v>
      </c>
      <c r="O103" s="508">
        <v>16673.149999999998</v>
      </c>
      <c r="P103" s="508">
        <v>16673.149999999998</v>
      </c>
      <c r="Q103" s="508">
        <v>16673.149999999998</v>
      </c>
      <c r="R103" s="508">
        <v>16673.149999999998</v>
      </c>
      <c r="S103" s="2182">
        <v>16673.149999999998</v>
      </c>
      <c r="T103" s="1970"/>
    </row>
    <row r="104" spans="1:39" ht="15" thickBot="1" x14ac:dyDescent="0.35">
      <c r="B104" s="534"/>
      <c r="C104" s="515" t="str">
        <f>C92</f>
        <v>Celkem</v>
      </c>
      <c r="D104" s="536"/>
      <c r="E104" s="537">
        <f>SUM(E96:E103)</f>
        <v>2667704</v>
      </c>
      <c r="F104" s="1961">
        <f t="shared" ref="F104:S104" si="55">SUM(F96:F103)</f>
        <v>2667704</v>
      </c>
      <c r="G104" s="1961">
        <f t="shared" si="55"/>
        <v>2667704</v>
      </c>
      <c r="H104" s="1961">
        <f t="shared" si="55"/>
        <v>2667704</v>
      </c>
      <c r="I104" s="1961">
        <f t="shared" si="55"/>
        <v>2667704</v>
      </c>
      <c r="J104" s="1961">
        <f t="shared" si="55"/>
        <v>2667704</v>
      </c>
      <c r="K104" s="1961">
        <f t="shared" si="55"/>
        <v>2667704</v>
      </c>
      <c r="L104" s="1961">
        <f t="shared" si="55"/>
        <v>2667704</v>
      </c>
      <c r="M104" s="1961">
        <f t="shared" si="55"/>
        <v>2667704</v>
      </c>
      <c r="N104" s="1961">
        <f t="shared" si="55"/>
        <v>2667704</v>
      </c>
      <c r="O104" s="1961">
        <f t="shared" si="55"/>
        <v>2667704</v>
      </c>
      <c r="P104" s="1961">
        <f t="shared" si="55"/>
        <v>2667704</v>
      </c>
      <c r="Q104" s="1961">
        <f t="shared" si="55"/>
        <v>2540732.4739999999</v>
      </c>
      <c r="R104" s="1961">
        <f t="shared" si="55"/>
        <v>2667704</v>
      </c>
      <c r="S104" s="1962">
        <f t="shared" si="55"/>
        <v>2667704</v>
      </c>
    </row>
    <row r="105" spans="1:39" x14ac:dyDescent="0.3">
      <c r="B105" s="499"/>
      <c r="C105" s="488"/>
      <c r="D105" s="480"/>
      <c r="E105" s="485"/>
      <c r="F105" s="485"/>
      <c r="G105" s="485"/>
      <c r="H105" s="485"/>
      <c r="I105" s="485"/>
      <c r="J105" s="485"/>
      <c r="K105" s="485"/>
      <c r="L105" s="485"/>
      <c r="M105" s="485"/>
      <c r="N105" s="485"/>
      <c r="O105" s="485"/>
      <c r="P105" s="485"/>
      <c r="Q105" s="485"/>
      <c r="R105" s="485"/>
      <c r="S105" s="485"/>
    </row>
    <row r="106" spans="1:39" ht="14.25" thickBot="1" x14ac:dyDescent="0.35">
      <c r="B106" s="504"/>
    </row>
    <row r="107" spans="1:39" ht="14.25" x14ac:dyDescent="0.3">
      <c r="B107" s="490" t="s">
        <v>90</v>
      </c>
      <c r="C107" s="491" t="str">
        <f>C82</f>
        <v>Celkové výkony</v>
      </c>
      <c r="D107" s="492"/>
      <c r="E107" s="2338">
        <f>E82</f>
        <v>2021</v>
      </c>
      <c r="F107" s="2338">
        <f t="shared" ref="F107:S107" si="56">E107+1</f>
        <v>2022</v>
      </c>
      <c r="G107" s="2338">
        <f t="shared" si="56"/>
        <v>2023</v>
      </c>
      <c r="H107" s="2338">
        <f t="shared" si="56"/>
        <v>2024</v>
      </c>
      <c r="I107" s="2338">
        <f t="shared" si="56"/>
        <v>2025</v>
      </c>
      <c r="J107" s="2338">
        <f t="shared" si="56"/>
        <v>2026</v>
      </c>
      <c r="K107" s="2338">
        <f t="shared" si="56"/>
        <v>2027</v>
      </c>
      <c r="L107" s="2338">
        <f t="shared" si="56"/>
        <v>2028</v>
      </c>
      <c r="M107" s="2338">
        <f t="shared" si="56"/>
        <v>2029</v>
      </c>
      <c r="N107" s="2338">
        <f t="shared" si="56"/>
        <v>2030</v>
      </c>
      <c r="O107" s="2338">
        <f t="shared" si="56"/>
        <v>2031</v>
      </c>
      <c r="P107" s="2338">
        <f t="shared" si="56"/>
        <v>2032</v>
      </c>
      <c r="Q107" s="2338">
        <f t="shared" si="56"/>
        <v>2033</v>
      </c>
      <c r="R107" s="2338">
        <f t="shared" si="56"/>
        <v>2034</v>
      </c>
      <c r="S107" s="2342">
        <f t="shared" si="56"/>
        <v>2035</v>
      </c>
    </row>
    <row r="108" spans="1:39" ht="13.5" customHeight="1" thickBot="1" x14ac:dyDescent="0.35">
      <c r="B108" s="493" t="s">
        <v>23</v>
      </c>
      <c r="C108" s="1967" t="str">
        <f>C28</f>
        <v>Scénář bez projektu</v>
      </c>
      <c r="D108" s="495" t="str">
        <f>C92</f>
        <v>Celkem</v>
      </c>
      <c r="E108" s="2339"/>
      <c r="F108" s="2339"/>
      <c r="G108" s="2339"/>
      <c r="H108" s="2339"/>
      <c r="I108" s="2339"/>
      <c r="J108" s="2339"/>
      <c r="K108" s="2339"/>
      <c r="L108" s="2339"/>
      <c r="M108" s="2339"/>
      <c r="N108" s="2339"/>
      <c r="O108" s="2339"/>
      <c r="P108" s="2339"/>
      <c r="Q108" s="2339"/>
      <c r="R108" s="2339"/>
      <c r="S108" s="2343"/>
      <c r="T108" s="482"/>
    </row>
    <row r="109" spans="1:39" ht="13.15" customHeight="1" x14ac:dyDescent="0.3">
      <c r="A109" s="1968"/>
      <c r="B109" s="2183">
        <v>70</v>
      </c>
      <c r="C109" s="2184" t="s">
        <v>1407</v>
      </c>
      <c r="D109" s="554">
        <f t="shared" ref="D109:D117" si="57">SUM(E109:S109,E121:S121)</f>
        <v>-105178</v>
      </c>
      <c r="E109" s="507"/>
      <c r="F109" s="507"/>
      <c r="G109" s="507"/>
      <c r="H109" s="507"/>
      <c r="I109" s="507"/>
      <c r="J109" s="507"/>
      <c r="K109" s="507"/>
      <c r="L109" s="507"/>
      <c r="M109" s="507"/>
      <c r="N109" s="507"/>
      <c r="O109" s="507"/>
      <c r="P109" s="507"/>
      <c r="Q109" s="507"/>
      <c r="R109" s="507"/>
      <c r="S109" s="507"/>
      <c r="T109" s="1971"/>
      <c r="U109" s="482"/>
      <c r="V109" s="482"/>
      <c r="W109" s="482"/>
      <c r="X109" s="482"/>
      <c r="Y109" s="482"/>
      <c r="Z109" s="482"/>
      <c r="AA109" s="482"/>
      <c r="AB109" s="481"/>
      <c r="AC109" s="481"/>
      <c r="AD109" s="482"/>
      <c r="AE109" s="482"/>
      <c r="AF109" s="482"/>
      <c r="AG109" s="482"/>
      <c r="AH109" s="482"/>
      <c r="AI109" s="482"/>
      <c r="AJ109" s="482"/>
      <c r="AK109" s="482"/>
      <c r="AL109" s="481"/>
      <c r="AM109" s="481"/>
    </row>
    <row r="110" spans="1:39" ht="13.15" customHeight="1" x14ac:dyDescent="0.3">
      <c r="A110" s="1968"/>
      <c r="B110" s="2183"/>
      <c r="C110" s="2185" t="s">
        <v>1408</v>
      </c>
      <c r="D110" s="555">
        <f t="shared" si="57"/>
        <v>0</v>
      </c>
      <c r="E110" s="507"/>
      <c r="F110" s="507"/>
      <c r="G110" s="507"/>
      <c r="H110" s="507"/>
      <c r="I110" s="507"/>
      <c r="J110" s="507"/>
      <c r="K110" s="507"/>
      <c r="L110" s="507"/>
      <c r="M110" s="507"/>
      <c r="N110" s="507"/>
      <c r="O110" s="507"/>
      <c r="P110" s="507"/>
      <c r="Q110" s="507"/>
      <c r="R110" s="507"/>
      <c r="S110" s="507"/>
      <c r="T110" s="1971"/>
      <c r="U110" s="482"/>
      <c r="V110" s="482"/>
      <c r="W110" s="482"/>
      <c r="X110" s="482"/>
      <c r="Y110" s="482"/>
      <c r="Z110" s="482"/>
      <c r="AA110" s="482"/>
      <c r="AB110" s="481"/>
      <c r="AC110" s="481"/>
      <c r="AD110" s="482"/>
      <c r="AE110" s="482"/>
      <c r="AF110" s="482"/>
      <c r="AG110" s="482"/>
      <c r="AH110" s="482"/>
      <c r="AI110" s="482"/>
      <c r="AJ110" s="482"/>
      <c r="AK110" s="482"/>
      <c r="AL110" s="481"/>
      <c r="AM110" s="481"/>
    </row>
    <row r="111" spans="1:39" ht="13.15" customHeight="1" x14ac:dyDescent="0.3">
      <c r="A111" s="1968"/>
      <c r="B111" s="2183">
        <v>23.891495685057002</v>
      </c>
      <c r="C111" s="2185" t="s">
        <v>1409</v>
      </c>
      <c r="D111" s="555">
        <f t="shared" si="57"/>
        <v>-21376.175999999999</v>
      </c>
      <c r="E111" s="507"/>
      <c r="F111" s="507"/>
      <c r="G111" s="507"/>
      <c r="H111" s="507"/>
      <c r="I111" s="507"/>
      <c r="J111" s="507"/>
      <c r="K111" s="507"/>
      <c r="L111" s="507"/>
      <c r="M111" s="507"/>
      <c r="N111" s="507"/>
      <c r="O111" s="507"/>
      <c r="P111" s="507"/>
      <c r="Q111" s="507"/>
      <c r="R111" s="507"/>
      <c r="S111" s="507"/>
      <c r="T111" s="1971"/>
      <c r="U111" s="482"/>
      <c r="V111" s="482"/>
      <c r="W111" s="482"/>
      <c r="X111" s="482"/>
      <c r="Y111" s="482"/>
      <c r="Z111" s="482"/>
      <c r="AA111" s="482"/>
      <c r="AB111" s="481"/>
      <c r="AC111" s="481"/>
      <c r="AD111" s="482"/>
      <c r="AE111" s="482"/>
      <c r="AF111" s="482"/>
      <c r="AG111" s="482"/>
      <c r="AH111" s="482"/>
      <c r="AI111" s="482"/>
      <c r="AJ111" s="482"/>
      <c r="AK111" s="482"/>
      <c r="AL111" s="481"/>
      <c r="AM111" s="481"/>
    </row>
    <row r="112" spans="1:39" ht="12.75" customHeight="1" x14ac:dyDescent="0.3">
      <c r="A112" s="1968"/>
      <c r="B112" s="2183">
        <v>3872.8568662010671</v>
      </c>
      <c r="C112" s="2185" t="s">
        <v>1410</v>
      </c>
      <c r="D112" s="555">
        <f t="shared" si="57"/>
        <v>-417.35</v>
      </c>
      <c r="E112" s="507"/>
      <c r="F112" s="507"/>
      <c r="G112" s="507"/>
      <c r="H112" s="507"/>
      <c r="I112" s="507"/>
      <c r="J112" s="507"/>
      <c r="K112" s="507"/>
      <c r="L112" s="507"/>
      <c r="M112" s="507"/>
      <c r="N112" s="507"/>
      <c r="O112" s="507"/>
      <c r="P112" s="507"/>
      <c r="Q112" s="507"/>
      <c r="R112" s="507"/>
      <c r="S112" s="507"/>
      <c r="T112" s="1960"/>
      <c r="U112" s="480"/>
      <c r="V112" s="480"/>
      <c r="W112" s="480"/>
      <c r="X112" s="480"/>
      <c r="Y112" s="480"/>
      <c r="Z112" s="480"/>
      <c r="AA112" s="480"/>
      <c r="AB112" s="481"/>
      <c r="AC112" s="481"/>
      <c r="AD112" s="482"/>
      <c r="AE112" s="482"/>
      <c r="AF112" s="482"/>
      <c r="AG112" s="482"/>
      <c r="AH112" s="482"/>
      <c r="AI112" s="482"/>
      <c r="AJ112" s="482"/>
      <c r="AK112" s="482"/>
      <c r="AL112" s="481"/>
      <c r="AM112" s="481"/>
    </row>
    <row r="113" spans="1:39" ht="12.75" customHeight="1" x14ac:dyDescent="0.3">
      <c r="A113" s="1968"/>
      <c r="B113" s="2183">
        <v>158.21124232914005</v>
      </c>
      <c r="C113" s="2185" t="s">
        <v>1411</v>
      </c>
      <c r="D113" s="555">
        <f t="shared" si="57"/>
        <v>0</v>
      </c>
      <c r="E113" s="507"/>
      <c r="F113" s="507"/>
      <c r="G113" s="507"/>
      <c r="H113" s="507"/>
      <c r="I113" s="507"/>
      <c r="J113" s="507"/>
      <c r="K113" s="507"/>
      <c r="L113" s="507"/>
      <c r="M113" s="507"/>
      <c r="N113" s="507"/>
      <c r="O113" s="507"/>
      <c r="P113" s="507"/>
      <c r="Q113" s="507"/>
      <c r="R113" s="507"/>
      <c r="S113" s="507"/>
      <c r="T113" s="1960"/>
      <c r="U113" s="480"/>
      <c r="V113" s="480"/>
      <c r="W113" s="480"/>
      <c r="X113" s="480"/>
      <c r="Y113" s="480"/>
      <c r="Z113" s="480"/>
      <c r="AA113" s="480"/>
      <c r="AB113" s="481"/>
      <c r="AC113" s="481"/>
      <c r="AD113" s="482"/>
      <c r="AE113" s="482"/>
      <c r="AF113" s="482"/>
      <c r="AG113" s="482"/>
      <c r="AH113" s="482"/>
      <c r="AI113" s="482"/>
      <c r="AJ113" s="482"/>
      <c r="AK113" s="482"/>
      <c r="AL113" s="481"/>
      <c r="AM113" s="481"/>
    </row>
    <row r="114" spans="1:39" ht="12.75" customHeight="1" x14ac:dyDescent="0.3">
      <c r="A114" s="1968"/>
      <c r="B114" s="2183">
        <v>5580.5823625029325</v>
      </c>
      <c r="C114" s="2185" t="s">
        <v>1412</v>
      </c>
      <c r="D114" s="555">
        <f t="shared" si="57"/>
        <v>0</v>
      </c>
      <c r="E114" s="507"/>
      <c r="F114" s="507"/>
      <c r="G114" s="507"/>
      <c r="H114" s="507"/>
      <c r="I114" s="507"/>
      <c r="J114" s="507"/>
      <c r="K114" s="507"/>
      <c r="L114" s="507"/>
      <c r="M114" s="507"/>
      <c r="N114" s="507"/>
      <c r="O114" s="507"/>
      <c r="P114" s="507"/>
      <c r="Q114" s="507"/>
      <c r="R114" s="507"/>
      <c r="S114" s="507"/>
      <c r="T114" s="1960"/>
      <c r="U114" s="480"/>
      <c r="V114" s="480"/>
      <c r="W114" s="480"/>
      <c r="X114" s="480"/>
      <c r="Y114" s="480"/>
      <c r="Z114" s="480"/>
      <c r="AA114" s="480"/>
      <c r="AB114" s="481"/>
      <c r="AC114" s="481"/>
      <c r="AD114" s="482"/>
      <c r="AE114" s="482"/>
      <c r="AF114" s="482"/>
      <c r="AG114" s="482"/>
      <c r="AH114" s="482"/>
      <c r="AI114" s="482"/>
      <c r="AJ114" s="482"/>
      <c r="AK114" s="482"/>
      <c r="AL114" s="481"/>
      <c r="AM114" s="481"/>
    </row>
    <row r="115" spans="1:39" ht="13.15" customHeight="1" x14ac:dyDescent="0.3">
      <c r="A115" s="1968"/>
      <c r="B115" s="2183">
        <v>179.30607463969207</v>
      </c>
      <c r="C115" s="2185" t="s">
        <v>1413</v>
      </c>
      <c r="D115" s="555">
        <f t="shared" si="57"/>
        <v>0</v>
      </c>
      <c r="E115" s="507"/>
      <c r="F115" s="507"/>
      <c r="G115" s="507"/>
      <c r="H115" s="507"/>
      <c r="I115" s="507"/>
      <c r="J115" s="507"/>
      <c r="K115" s="507"/>
      <c r="L115" s="507"/>
      <c r="M115" s="507"/>
      <c r="N115" s="507"/>
      <c r="O115" s="507"/>
      <c r="P115" s="507"/>
      <c r="Q115" s="507"/>
      <c r="R115" s="507"/>
      <c r="S115" s="507"/>
      <c r="T115" s="1960"/>
      <c r="U115" s="480"/>
      <c r="V115" s="480"/>
      <c r="W115" s="480"/>
      <c r="X115" s="480"/>
      <c r="Y115" s="480"/>
      <c r="Z115" s="480"/>
      <c r="AA115" s="480"/>
      <c r="AB115" s="481"/>
      <c r="AC115" s="481"/>
      <c r="AD115" s="480"/>
      <c r="AE115" s="480"/>
      <c r="AF115" s="480"/>
      <c r="AG115" s="480"/>
      <c r="AH115" s="480"/>
      <c r="AI115" s="480"/>
      <c r="AJ115" s="480"/>
      <c r="AK115" s="480"/>
      <c r="AL115" s="481"/>
      <c r="AM115" s="481"/>
    </row>
    <row r="116" spans="1:39" ht="13.15" customHeight="1" x14ac:dyDescent="0.3">
      <c r="A116" s="1968"/>
      <c r="B116" s="2183">
        <v>5800.7993000029337</v>
      </c>
      <c r="C116" s="2186" t="s">
        <v>1414</v>
      </c>
      <c r="D116" s="1839">
        <f t="shared" si="57"/>
        <v>0</v>
      </c>
      <c r="E116" s="507"/>
      <c r="F116" s="507"/>
      <c r="G116" s="507"/>
      <c r="H116" s="507"/>
      <c r="I116" s="507"/>
      <c r="J116" s="507"/>
      <c r="K116" s="507"/>
      <c r="L116" s="507"/>
      <c r="M116" s="507"/>
      <c r="N116" s="507"/>
      <c r="O116" s="507"/>
      <c r="P116" s="507"/>
      <c r="Q116" s="507"/>
      <c r="R116" s="507"/>
      <c r="S116" s="507"/>
      <c r="T116" s="1960"/>
      <c r="U116" s="480"/>
      <c r="V116" s="480"/>
      <c r="W116" s="480"/>
      <c r="X116" s="480"/>
      <c r="Y116" s="480"/>
      <c r="Z116" s="480"/>
      <c r="AA116" s="480"/>
      <c r="AB116" s="481"/>
      <c r="AC116" s="481"/>
      <c r="AD116" s="480"/>
      <c r="AE116" s="480"/>
      <c r="AF116" s="480"/>
      <c r="AG116" s="480"/>
      <c r="AH116" s="480"/>
      <c r="AI116" s="480"/>
      <c r="AJ116" s="480"/>
      <c r="AK116" s="480"/>
      <c r="AL116" s="481"/>
      <c r="AM116" s="481"/>
    </row>
    <row r="117" spans="1:39" ht="13.9" customHeight="1" thickBot="1" x14ac:dyDescent="0.35">
      <c r="B117" s="517"/>
      <c r="C117" s="1975" t="str">
        <f>D108</f>
        <v>Celkem</v>
      </c>
      <c r="D117" s="519">
        <f t="shared" si="57"/>
        <v>-126971.52600000001</v>
      </c>
      <c r="E117" s="538">
        <f>SUM(E109:E116)</f>
        <v>0</v>
      </c>
      <c r="F117" s="1976">
        <f t="shared" ref="F117:S117" si="58">SUM(F109:F116)</f>
        <v>0</v>
      </c>
      <c r="G117" s="1976">
        <f t="shared" si="58"/>
        <v>0</v>
      </c>
      <c r="H117" s="1976">
        <f t="shared" si="58"/>
        <v>0</v>
      </c>
      <c r="I117" s="1976">
        <f t="shared" si="58"/>
        <v>0</v>
      </c>
      <c r="J117" s="1976">
        <f t="shared" si="58"/>
        <v>0</v>
      </c>
      <c r="K117" s="1976">
        <f t="shared" si="58"/>
        <v>0</v>
      </c>
      <c r="L117" s="1976">
        <f t="shared" si="58"/>
        <v>0</v>
      </c>
      <c r="M117" s="1976">
        <f t="shared" si="58"/>
        <v>0</v>
      </c>
      <c r="N117" s="1976">
        <f t="shared" si="58"/>
        <v>0</v>
      </c>
      <c r="O117" s="1976">
        <f t="shared" si="58"/>
        <v>0</v>
      </c>
      <c r="P117" s="1976">
        <f t="shared" si="58"/>
        <v>0</v>
      </c>
      <c r="Q117" s="1976">
        <f t="shared" si="58"/>
        <v>0</v>
      </c>
      <c r="R117" s="1976">
        <f t="shared" si="58"/>
        <v>0</v>
      </c>
      <c r="S117" s="1977">
        <f t="shared" si="58"/>
        <v>0</v>
      </c>
      <c r="T117" s="480"/>
      <c r="U117" s="480"/>
      <c r="V117" s="480"/>
      <c r="W117" s="480"/>
      <c r="X117" s="480"/>
      <c r="Y117" s="480"/>
      <c r="Z117" s="480"/>
      <c r="AA117" s="480"/>
      <c r="AB117" s="481"/>
      <c r="AC117" s="481"/>
      <c r="AD117" s="480"/>
      <c r="AE117" s="480"/>
      <c r="AF117" s="480"/>
      <c r="AG117" s="480"/>
      <c r="AH117" s="480"/>
      <c r="AI117" s="480"/>
      <c r="AJ117" s="480"/>
      <c r="AK117" s="480"/>
      <c r="AL117" s="481"/>
      <c r="AM117" s="481"/>
    </row>
    <row r="118" spans="1:39" ht="13.9" customHeight="1" thickBot="1" x14ac:dyDescent="0.35">
      <c r="B118" s="496"/>
      <c r="C118" s="481"/>
      <c r="D118" s="480"/>
      <c r="E118" s="487"/>
      <c r="F118" s="487"/>
      <c r="G118" s="487"/>
      <c r="H118" s="487"/>
      <c r="I118" s="487"/>
      <c r="J118" s="487"/>
      <c r="K118" s="487"/>
      <c r="L118" s="487"/>
      <c r="M118" s="487"/>
      <c r="N118" s="487"/>
      <c r="O118" s="487"/>
      <c r="P118" s="487"/>
      <c r="Q118" s="487"/>
      <c r="R118" s="487"/>
      <c r="S118" s="487"/>
      <c r="T118" s="480"/>
      <c r="U118" s="480"/>
      <c r="V118" s="480"/>
      <c r="W118" s="480"/>
      <c r="X118" s="480"/>
      <c r="Y118" s="480"/>
      <c r="Z118" s="480"/>
      <c r="AA118" s="480"/>
      <c r="AB118" s="481"/>
      <c r="AC118" s="481"/>
      <c r="AD118" s="480"/>
      <c r="AE118" s="480"/>
      <c r="AF118" s="480"/>
      <c r="AG118" s="480"/>
      <c r="AH118" s="480"/>
      <c r="AI118" s="480"/>
      <c r="AJ118" s="480"/>
      <c r="AK118" s="480"/>
      <c r="AL118" s="481"/>
      <c r="AM118" s="481"/>
    </row>
    <row r="119" spans="1:39" ht="13.15" customHeight="1" x14ac:dyDescent="0.3">
      <c r="B119" s="490" t="str">
        <f>B107</f>
        <v>4.5.</v>
      </c>
      <c r="C119" s="491" t="str">
        <f>C107</f>
        <v>Celkové výkony</v>
      </c>
      <c r="D119" s="497"/>
      <c r="E119" s="2348">
        <f>S107+1</f>
        <v>2036</v>
      </c>
      <c r="F119" s="2338">
        <f t="shared" ref="F119:S119" si="59">E119+1</f>
        <v>2037</v>
      </c>
      <c r="G119" s="2338">
        <f t="shared" si="59"/>
        <v>2038</v>
      </c>
      <c r="H119" s="2338">
        <f t="shared" si="59"/>
        <v>2039</v>
      </c>
      <c r="I119" s="2338">
        <f t="shared" si="59"/>
        <v>2040</v>
      </c>
      <c r="J119" s="2338">
        <f t="shared" si="59"/>
        <v>2041</v>
      </c>
      <c r="K119" s="2338">
        <f t="shared" si="59"/>
        <v>2042</v>
      </c>
      <c r="L119" s="2338">
        <f t="shared" si="59"/>
        <v>2043</v>
      </c>
      <c r="M119" s="2338">
        <f t="shared" si="59"/>
        <v>2044</v>
      </c>
      <c r="N119" s="2338">
        <f t="shared" si="59"/>
        <v>2045</v>
      </c>
      <c r="O119" s="2338">
        <f t="shared" si="59"/>
        <v>2046</v>
      </c>
      <c r="P119" s="2338">
        <f t="shared" si="59"/>
        <v>2047</v>
      </c>
      <c r="Q119" s="2338">
        <f t="shared" si="59"/>
        <v>2048</v>
      </c>
      <c r="R119" s="2338">
        <f t="shared" si="59"/>
        <v>2049</v>
      </c>
      <c r="S119" s="2342">
        <f t="shared" si="59"/>
        <v>2050</v>
      </c>
      <c r="T119" s="484"/>
      <c r="U119" s="484"/>
      <c r="V119" s="484"/>
      <c r="W119" s="484"/>
      <c r="X119" s="484"/>
      <c r="Y119" s="484"/>
      <c r="Z119" s="484"/>
      <c r="AA119" s="484"/>
      <c r="AD119" s="480"/>
      <c r="AE119" s="480"/>
      <c r="AF119" s="480"/>
      <c r="AG119" s="480"/>
      <c r="AH119" s="480"/>
      <c r="AI119" s="480"/>
      <c r="AJ119" s="480"/>
      <c r="AK119" s="480"/>
      <c r="AL119" s="481"/>
      <c r="AM119" s="481"/>
    </row>
    <row r="120" spans="1:39" ht="13.9" customHeight="1" thickBot="1" x14ac:dyDescent="0.35">
      <c r="B120" s="493" t="s">
        <v>24</v>
      </c>
      <c r="C120" s="494" t="str">
        <f>C108</f>
        <v>Scénář bez projektu</v>
      </c>
      <c r="D120" s="498"/>
      <c r="E120" s="2349">
        <f>S108+1</f>
        <v>1</v>
      </c>
      <c r="F120" s="2339"/>
      <c r="G120" s="2339"/>
      <c r="H120" s="2339"/>
      <c r="I120" s="2339"/>
      <c r="J120" s="2339"/>
      <c r="K120" s="2339"/>
      <c r="L120" s="2339"/>
      <c r="M120" s="2339"/>
      <c r="N120" s="2339"/>
      <c r="O120" s="2339"/>
      <c r="P120" s="2339"/>
      <c r="Q120" s="2339"/>
      <c r="R120" s="2339"/>
      <c r="S120" s="2343"/>
      <c r="AD120" s="484"/>
      <c r="AE120" s="484"/>
      <c r="AF120" s="484"/>
      <c r="AG120" s="484"/>
      <c r="AH120" s="484"/>
      <c r="AI120" s="484"/>
      <c r="AJ120" s="484"/>
      <c r="AK120" s="484"/>
    </row>
    <row r="121" spans="1:39" ht="14.25" x14ac:dyDescent="0.3">
      <c r="B121" s="294"/>
      <c r="C121" s="295" t="str">
        <f t="shared" ref="C121:C128" si="60">C109</f>
        <v>Jízdy náhradní autobusové dopravy</v>
      </c>
      <c r="D121" s="1084"/>
      <c r="E121" s="508"/>
      <c r="F121" s="508"/>
      <c r="G121" s="508"/>
      <c r="H121" s="508"/>
      <c r="I121" s="508"/>
      <c r="J121" s="508"/>
      <c r="K121" s="508"/>
      <c r="L121" s="508"/>
      <c r="M121" s="508"/>
      <c r="N121" s="508"/>
      <c r="O121" s="508"/>
      <c r="P121" s="508"/>
      <c r="Q121" s="2177">
        <f>-((2*29+2*28.5)*71*10+(2*29+1*28.5)*68*4)</f>
        <v>-105178</v>
      </c>
      <c r="R121" s="508"/>
      <c r="S121" s="508"/>
      <c r="T121" s="1970"/>
    </row>
    <row r="122" spans="1:39" ht="14.25" x14ac:dyDescent="0.3">
      <c r="B122" s="294"/>
      <c r="C122" s="295" t="str">
        <f t="shared" si="60"/>
        <v>Jízdy nákladních automobilů</v>
      </c>
      <c r="D122" s="255"/>
      <c r="E122" s="508"/>
      <c r="F122" s="508"/>
      <c r="G122" s="508"/>
      <c r="H122" s="508"/>
      <c r="I122" s="508"/>
      <c r="J122" s="508"/>
      <c r="K122" s="508"/>
      <c r="L122" s="508"/>
      <c r="M122" s="508"/>
      <c r="N122" s="508"/>
      <c r="O122" s="508"/>
      <c r="P122" s="508"/>
      <c r="Q122" s="507"/>
      <c r="R122" s="508"/>
      <c r="S122" s="508"/>
      <c r="T122" s="1970"/>
    </row>
    <row r="123" spans="1:39" ht="14.25" x14ac:dyDescent="0.3">
      <c r="B123" s="294"/>
      <c r="C123" s="295" t="str">
        <f t="shared" si="60"/>
        <v>Jízdy Os vlaků (km)</v>
      </c>
      <c r="D123" s="255"/>
      <c r="E123" s="508"/>
      <c r="F123" s="508"/>
      <c r="G123" s="508"/>
      <c r="H123" s="508"/>
      <c r="I123" s="508"/>
      <c r="J123" s="508"/>
      <c r="K123" s="508"/>
      <c r="L123" s="508"/>
      <c r="M123" s="508"/>
      <c r="N123" s="508"/>
      <c r="O123" s="508"/>
      <c r="P123" s="508"/>
      <c r="Q123" s="507">
        <v>-21376.175999999999</v>
      </c>
      <c r="R123" s="508"/>
      <c r="S123" s="508"/>
      <c r="T123" s="1970"/>
    </row>
    <row r="124" spans="1:39" ht="14.25" x14ac:dyDescent="0.3">
      <c r="B124" s="294"/>
      <c r="C124" s="295" t="str">
        <f t="shared" si="60"/>
        <v>Jízdy Os vlaků (hod)</v>
      </c>
      <c r="D124" s="255"/>
      <c r="E124" s="508"/>
      <c r="F124" s="508"/>
      <c r="G124" s="508"/>
      <c r="H124" s="508"/>
      <c r="I124" s="508"/>
      <c r="J124" s="508"/>
      <c r="K124" s="508"/>
      <c r="L124" s="508"/>
      <c r="M124" s="508"/>
      <c r="N124" s="508"/>
      <c r="O124" s="508"/>
      <c r="P124" s="508"/>
      <c r="Q124" s="507">
        <v>-417.35</v>
      </c>
      <c r="R124" s="508"/>
      <c r="S124" s="508"/>
      <c r="T124" s="1970"/>
    </row>
    <row r="125" spans="1:39" ht="14.25" x14ac:dyDescent="0.3">
      <c r="B125" s="294"/>
      <c r="C125" s="295" t="str">
        <f t="shared" si="60"/>
        <v>Jízdy 1500t NEx vlaků (km)</v>
      </c>
      <c r="D125" s="255"/>
      <c r="E125" s="508"/>
      <c r="F125" s="508"/>
      <c r="G125" s="508"/>
      <c r="H125" s="508"/>
      <c r="I125" s="508"/>
      <c r="J125" s="508"/>
      <c r="K125" s="508"/>
      <c r="L125" s="508"/>
      <c r="M125" s="508"/>
      <c r="N125" s="508"/>
      <c r="O125" s="508"/>
      <c r="P125" s="508"/>
      <c r="Q125" s="508"/>
      <c r="R125" s="508"/>
      <c r="S125" s="508"/>
      <c r="T125" s="1970"/>
    </row>
    <row r="126" spans="1:39" ht="14.25" x14ac:dyDescent="0.3">
      <c r="B126" s="294"/>
      <c r="C126" s="295" t="str">
        <f t="shared" si="60"/>
        <v>Jízdy 1500t NEx vlaků (hod)</v>
      </c>
      <c r="D126" s="255"/>
      <c r="E126" s="508"/>
      <c r="F126" s="508"/>
      <c r="G126" s="508"/>
      <c r="H126" s="508"/>
      <c r="I126" s="508"/>
      <c r="J126" s="508"/>
      <c r="K126" s="508"/>
      <c r="L126" s="508"/>
      <c r="M126" s="508"/>
      <c r="N126" s="508"/>
      <c r="O126" s="508"/>
      <c r="P126" s="508"/>
      <c r="Q126" s="508"/>
      <c r="R126" s="508"/>
      <c r="S126" s="508"/>
      <c r="T126" s="1970"/>
    </row>
    <row r="127" spans="1:39" ht="14.25" x14ac:dyDescent="0.3">
      <c r="B127" s="294"/>
      <c r="C127" s="295" t="str">
        <f t="shared" si="60"/>
        <v>Jízdy 1700t NEx vlaků (km)</v>
      </c>
      <c r="D127" s="255"/>
      <c r="E127" s="508"/>
      <c r="F127" s="508"/>
      <c r="G127" s="508"/>
      <c r="H127" s="508"/>
      <c r="I127" s="508"/>
      <c r="J127" s="508"/>
      <c r="K127" s="508"/>
      <c r="L127" s="508"/>
      <c r="M127" s="508"/>
      <c r="N127" s="508"/>
      <c r="O127" s="508"/>
      <c r="P127" s="508"/>
      <c r="Q127" s="508"/>
      <c r="R127" s="508"/>
      <c r="S127" s="508"/>
      <c r="T127" s="1970"/>
    </row>
    <row r="128" spans="1:39" ht="12.75" customHeight="1" x14ac:dyDescent="0.3">
      <c r="B128" s="294"/>
      <c r="C128" s="295" t="str">
        <f t="shared" si="60"/>
        <v>Jízdy 1700t NEx vlaků (hod)</v>
      </c>
      <c r="D128" s="1937"/>
      <c r="E128" s="508"/>
      <c r="F128" s="508"/>
      <c r="G128" s="508"/>
      <c r="H128" s="508"/>
      <c r="I128" s="508"/>
      <c r="J128" s="508"/>
      <c r="K128" s="508"/>
      <c r="L128" s="508"/>
      <c r="M128" s="508"/>
      <c r="N128" s="508"/>
      <c r="O128" s="508"/>
      <c r="P128" s="508"/>
      <c r="Q128" s="508"/>
      <c r="R128" s="508"/>
      <c r="S128" s="508"/>
      <c r="T128" s="1970"/>
    </row>
    <row r="129" spans="2:19" ht="13.9" customHeight="1" thickBot="1" x14ac:dyDescent="0.35">
      <c r="B129" s="539"/>
      <c r="C129" s="518" t="str">
        <f>C117</f>
        <v>Celkem</v>
      </c>
      <c r="D129" s="540"/>
      <c r="E129" s="541">
        <f t="shared" ref="E129:S129" si="61">SUM(E121:E128)</f>
        <v>0</v>
      </c>
      <c r="F129" s="1978">
        <f t="shared" si="61"/>
        <v>0</v>
      </c>
      <c r="G129" s="1978">
        <f t="shared" si="61"/>
        <v>0</v>
      </c>
      <c r="H129" s="1978">
        <f t="shared" si="61"/>
        <v>0</v>
      </c>
      <c r="I129" s="1978">
        <f t="shared" si="61"/>
        <v>0</v>
      </c>
      <c r="J129" s="1978">
        <f t="shared" si="61"/>
        <v>0</v>
      </c>
      <c r="K129" s="1978">
        <f t="shared" si="61"/>
        <v>0</v>
      </c>
      <c r="L129" s="1978">
        <f t="shared" si="61"/>
        <v>0</v>
      </c>
      <c r="M129" s="1978">
        <f t="shared" si="61"/>
        <v>0</v>
      </c>
      <c r="N129" s="1978">
        <f t="shared" si="61"/>
        <v>0</v>
      </c>
      <c r="O129" s="1978">
        <f t="shared" si="61"/>
        <v>0</v>
      </c>
      <c r="P129" s="1978">
        <f t="shared" si="61"/>
        <v>0</v>
      </c>
      <c r="Q129" s="1978">
        <f t="shared" si="61"/>
        <v>-126971.52600000001</v>
      </c>
      <c r="R129" s="1978">
        <f t="shared" si="61"/>
        <v>0</v>
      </c>
      <c r="S129" s="1979">
        <f t="shared" si="61"/>
        <v>0</v>
      </c>
    </row>
    <row r="131" spans="2:19" ht="15" thickBot="1" x14ac:dyDescent="0.35">
      <c r="B131" s="505"/>
    </row>
    <row r="132" spans="2:19" x14ac:dyDescent="0.3">
      <c r="B132" s="2286" t="str">
        <f>IF('0 Úvod'!$M$10="English",Slovnik!$D$183,Slovnik!$C$183)</f>
        <v>Komentáře</v>
      </c>
      <c r="C132" s="2287"/>
      <c r="D132" s="2287"/>
      <c r="E132" s="2287"/>
      <c r="F132" s="2287"/>
      <c r="G132" s="2287"/>
      <c r="H132" s="2287"/>
      <c r="I132" s="2287"/>
      <c r="J132" s="2287"/>
      <c r="K132" s="2287"/>
      <c r="L132" s="2287"/>
      <c r="M132" s="2287"/>
      <c r="N132" s="2287"/>
      <c r="O132" s="2287"/>
      <c r="P132" s="2287"/>
      <c r="Q132" s="2287"/>
      <c r="R132" s="2288"/>
      <c r="S132" s="2289"/>
    </row>
    <row r="133" spans="2:19" ht="14.25" thickBot="1" x14ac:dyDescent="0.35">
      <c r="B133" s="2290"/>
      <c r="C133" s="2291"/>
      <c r="D133" s="2291"/>
      <c r="E133" s="2291"/>
      <c r="F133" s="2291"/>
      <c r="G133" s="2291"/>
      <c r="H133" s="2291"/>
      <c r="I133" s="2291"/>
      <c r="J133" s="2291"/>
      <c r="K133" s="2291"/>
      <c r="L133" s="2291"/>
      <c r="M133" s="2291"/>
      <c r="N133" s="2291"/>
      <c r="O133" s="2291"/>
      <c r="P133" s="2291"/>
      <c r="Q133" s="2291"/>
      <c r="R133" s="2292"/>
      <c r="S133" s="2293"/>
    </row>
    <row r="134" spans="2:19" ht="42.75" customHeight="1" thickBot="1" x14ac:dyDescent="0.35">
      <c r="B134" s="2358" t="str">
        <f>IF('0 Úvod'!$M$10="English",Slovnik!$E$181,Slovnik!$E$180)</f>
        <v>Způsob výpočtu provozních nákladů vozidel/plavidel je uveden v kapitole 8.1.9, 8.1.10 a 8.1.11. materiálu "Rezortní metodika pro hodnocení ekonomické efektivnosti projektů dopravních staveb". V tabulce 4.1. a  4.2. uvede zpracovatel konkrétní výpočet pomocí vzorců,  s odkazem na tabulky výkonů (tabulka 4.4. a 4.5.) a měrného ohodnocení (v závislosti na použité metodě). Případně uvede odkaz na jiný způsob výpočtu (model HDM-4) či příloha č. 7 Rezortní Metodiky - Metodika PN vlaků. V případě výpočtu modelem HDM-4 mohou být uváděny provozní náklady silničních vozidel osobní a nákladní dopravy dohromady.</v>
      </c>
      <c r="C134" s="2359"/>
      <c r="D134" s="2359"/>
      <c r="E134" s="2359"/>
      <c r="F134" s="2359"/>
      <c r="G134" s="2359"/>
      <c r="H134" s="2359"/>
      <c r="I134" s="2359"/>
      <c r="J134" s="2359"/>
      <c r="K134" s="2359"/>
      <c r="L134" s="2359"/>
      <c r="M134" s="2359"/>
      <c r="N134" s="2359"/>
      <c r="O134" s="2359"/>
      <c r="P134" s="2359"/>
      <c r="Q134" s="2359"/>
      <c r="R134" s="2359"/>
      <c r="S134" s="2360"/>
    </row>
    <row r="135" spans="2:19" ht="15" customHeight="1" x14ac:dyDescent="0.3">
      <c r="B135" s="2352" t="str">
        <f>IF('0 Úvod'!$M$10="English",Slovnik!$E$184,Slovnik!$E$183)</f>
        <v>V případě projektů městské hromadné dopravy je třeba uvádět zvlášť provozní náklady autobusů MHD a ostatních silničních vozidel (např. IAD). Provozní náklady musí být kvůli správné funkci výpočtu finanční analýzy uvedeny v položce "Náklady na provoz SILNIČNÍCH vozidel - osobní"!</v>
      </c>
      <c r="C135" s="2353"/>
      <c r="D135" s="2353"/>
      <c r="E135" s="2353"/>
      <c r="F135" s="2353"/>
      <c r="G135" s="2353"/>
      <c r="H135" s="2353"/>
      <c r="I135" s="2353"/>
      <c r="J135" s="2353"/>
      <c r="K135" s="2353"/>
      <c r="L135" s="2353"/>
      <c r="M135" s="2353"/>
      <c r="N135" s="2353"/>
      <c r="O135" s="2353"/>
      <c r="P135" s="2353"/>
      <c r="Q135" s="2353"/>
      <c r="R135" s="2353"/>
      <c r="S135" s="2354"/>
    </row>
    <row r="136" spans="2:19" ht="14.25" customHeight="1" thickBot="1" x14ac:dyDescent="0.35">
      <c r="B136" s="2355"/>
      <c r="C136" s="2356"/>
      <c r="D136" s="2356"/>
      <c r="E136" s="2356"/>
      <c r="F136" s="2356"/>
      <c r="G136" s="2356"/>
      <c r="H136" s="2356"/>
      <c r="I136" s="2356"/>
      <c r="J136" s="2356"/>
      <c r="K136" s="2356"/>
      <c r="L136" s="2356"/>
      <c r="M136" s="2356"/>
      <c r="N136" s="2356"/>
      <c r="O136" s="2356"/>
      <c r="P136" s="2356"/>
      <c r="Q136" s="2356"/>
      <c r="R136" s="2356"/>
      <c r="S136" s="2357"/>
    </row>
    <row r="138" spans="2:19" ht="14.25" x14ac:dyDescent="0.3">
      <c r="C138" s="506"/>
      <c r="D138" s="480"/>
      <c r="E138" s="487"/>
      <c r="F138" s="487"/>
      <c r="G138" s="487"/>
      <c r="H138" s="487"/>
      <c r="I138" s="487"/>
      <c r="J138" s="487"/>
      <c r="K138" s="487"/>
      <c r="L138" s="487"/>
      <c r="M138" s="487"/>
      <c r="N138" s="487"/>
      <c r="O138" s="487"/>
      <c r="P138" s="487"/>
      <c r="Q138" s="487"/>
      <c r="R138" s="487"/>
      <c r="S138" s="487"/>
    </row>
  </sheetData>
  <sheetProtection algorithmName="SHA-512" hashValue="cUgZ2NAo7Kcr1wZYM+5AGUm7XE5TnWf0ox9ZB7SkfGr416sRxzZD0yD4HRMEYDJUy9EVfSuyDgdyr1wK4flr7g==" saltValue="uhlwA09nGb5y51e/1FxUyA==" spinCount="100000" sheet="1" formatCells="0" formatColumns="0" formatRows="0" insertColumns="0" insertRows="0" insertHyperlinks="0" deleteColumns="0" deleteRows="0" sort="0" autoFilter="0" pivotTables="0"/>
  <mergeCells count="153">
    <mergeCell ref="B135:S136"/>
    <mergeCell ref="B132:S133"/>
    <mergeCell ref="B134:S134"/>
    <mergeCell ref="S119:S120"/>
    <mergeCell ref="M119:M120"/>
    <mergeCell ref="N119:N120"/>
    <mergeCell ref="O119:O120"/>
    <mergeCell ref="P119:P120"/>
    <mergeCell ref="Q119:Q120"/>
    <mergeCell ref="R119:R120"/>
    <mergeCell ref="E119:E120"/>
    <mergeCell ref="F119:F120"/>
    <mergeCell ref="G119:G120"/>
    <mergeCell ref="H119:H120"/>
    <mergeCell ref="I119:I120"/>
    <mergeCell ref="J119:J120"/>
    <mergeCell ref="K119:K120"/>
    <mergeCell ref="L119:L120"/>
    <mergeCell ref="R107:R108"/>
    <mergeCell ref="S107:S108"/>
    <mergeCell ref="L107:L108"/>
    <mergeCell ref="M107:M108"/>
    <mergeCell ref="N107:N108"/>
    <mergeCell ref="O107:O108"/>
    <mergeCell ref="P107:P108"/>
    <mergeCell ref="Q107:Q108"/>
    <mergeCell ref="Q94:Q95"/>
    <mergeCell ref="R94:R95"/>
    <mergeCell ref="S94:S95"/>
    <mergeCell ref="M94:M95"/>
    <mergeCell ref="N94:N95"/>
    <mergeCell ref="O94:O95"/>
    <mergeCell ref="P94:P95"/>
    <mergeCell ref="E107:E108"/>
    <mergeCell ref="F107:F108"/>
    <mergeCell ref="G107:G108"/>
    <mergeCell ref="H107:H108"/>
    <mergeCell ref="I107:I108"/>
    <mergeCell ref="J107:J108"/>
    <mergeCell ref="K107:K108"/>
    <mergeCell ref="K94:K95"/>
    <mergeCell ref="L94:L95"/>
    <mergeCell ref="R82:R83"/>
    <mergeCell ref="S82:S83"/>
    <mergeCell ref="E94:E95"/>
    <mergeCell ref="F94:F95"/>
    <mergeCell ref="G94:G95"/>
    <mergeCell ref="H94:H95"/>
    <mergeCell ref="I94:I95"/>
    <mergeCell ref="J94:J95"/>
    <mergeCell ref="J82:J83"/>
    <mergeCell ref="K82:K83"/>
    <mergeCell ref="L82:L83"/>
    <mergeCell ref="M82:M83"/>
    <mergeCell ref="N82:N83"/>
    <mergeCell ref="O82:O83"/>
    <mergeCell ref="E82:E83"/>
    <mergeCell ref="F82:F83"/>
    <mergeCell ref="G82:G83"/>
    <mergeCell ref="H82:H83"/>
    <mergeCell ref="I82:I83"/>
    <mergeCell ref="E52:E53"/>
    <mergeCell ref="F52:F53"/>
    <mergeCell ref="G52:G53"/>
    <mergeCell ref="H52:H53"/>
    <mergeCell ref="I52:I53"/>
    <mergeCell ref="P64:P65"/>
    <mergeCell ref="Q64:Q65"/>
    <mergeCell ref="P82:P83"/>
    <mergeCell ref="Q82:Q83"/>
    <mergeCell ref="L64:L65"/>
    <mergeCell ref="P27:P28"/>
    <mergeCell ref="Q27:Q28"/>
    <mergeCell ref="R27:R28"/>
    <mergeCell ref="E27:E28"/>
    <mergeCell ref="F27:F28"/>
    <mergeCell ref="G27:G28"/>
    <mergeCell ref="M64:M65"/>
    <mergeCell ref="N64:N65"/>
    <mergeCell ref="O64:O65"/>
    <mergeCell ref="Q52:Q53"/>
    <mergeCell ref="R52:R53"/>
    <mergeCell ref="E64:E65"/>
    <mergeCell ref="F64:F65"/>
    <mergeCell ref="G64:G65"/>
    <mergeCell ref="H64:H65"/>
    <mergeCell ref="I64:I65"/>
    <mergeCell ref="J64:J65"/>
    <mergeCell ref="K64:K65"/>
    <mergeCell ref="K52:K53"/>
    <mergeCell ref="L52:L53"/>
    <mergeCell ref="M52:M53"/>
    <mergeCell ref="N52:N53"/>
    <mergeCell ref="O52:O53"/>
    <mergeCell ref="P52:P53"/>
    <mergeCell ref="E39:E40"/>
    <mergeCell ref="F39:F40"/>
    <mergeCell ref="G39:G40"/>
    <mergeCell ref="H39:H40"/>
    <mergeCell ref="I39:I40"/>
    <mergeCell ref="J39:J40"/>
    <mergeCell ref="K39:K40"/>
    <mergeCell ref="L39:L40"/>
    <mergeCell ref="M39:M40"/>
    <mergeCell ref="N39:N40"/>
    <mergeCell ref="O39:O40"/>
    <mergeCell ref="P39:P40"/>
    <mergeCell ref="Q39:Q40"/>
    <mergeCell ref="J52:J53"/>
    <mergeCell ref="R64:R65"/>
    <mergeCell ref="S64:S65"/>
    <mergeCell ref="R39:R40"/>
    <mergeCell ref="S39:S40"/>
    <mergeCell ref="S52:S53"/>
    <mergeCell ref="H27:H28"/>
    <mergeCell ref="I27:I28"/>
    <mergeCell ref="J27:J28"/>
    <mergeCell ref="K27:K28"/>
    <mergeCell ref="L27:L28"/>
    <mergeCell ref="L14:L15"/>
    <mergeCell ref="Q2:Q3"/>
    <mergeCell ref="R2:R3"/>
    <mergeCell ref="S2:S3"/>
    <mergeCell ref="M2:M3"/>
    <mergeCell ref="N2:N3"/>
    <mergeCell ref="O2:O3"/>
    <mergeCell ref="P2:P3"/>
    <mergeCell ref="R14:R15"/>
    <mergeCell ref="S14:S15"/>
    <mergeCell ref="M14:M15"/>
    <mergeCell ref="N14:N15"/>
    <mergeCell ref="O14:O15"/>
    <mergeCell ref="P14:P15"/>
    <mergeCell ref="Q14:Q15"/>
    <mergeCell ref="S27:S28"/>
    <mergeCell ref="M27:M28"/>
    <mergeCell ref="N27:N28"/>
    <mergeCell ref="O27:O28"/>
    <mergeCell ref="E14:E15"/>
    <mergeCell ref="F14:F15"/>
    <mergeCell ref="G14:G15"/>
    <mergeCell ref="H14:H15"/>
    <mergeCell ref="I14:I15"/>
    <mergeCell ref="J14:J15"/>
    <mergeCell ref="K14:K15"/>
    <mergeCell ref="K2:K3"/>
    <mergeCell ref="L2:L3"/>
    <mergeCell ref="E2:E3"/>
    <mergeCell ref="F2:F3"/>
    <mergeCell ref="G2:G3"/>
    <mergeCell ref="H2:H3"/>
    <mergeCell ref="I2:I3"/>
    <mergeCell ref="J2:J3"/>
  </mergeCells>
  <pageMargins left="0.39370078740157483" right="0.35433070866141736" top="0.78740157480314965" bottom="0.78740157480314965" header="0.39370078740157483" footer="0.39370078740157483"/>
  <pageSetup paperSize="9" scale="59" fitToHeight="0" orientation="landscape" r:id="rId1"/>
  <headerFooter alignWithMargins="0">
    <oddFooter>&amp;L&amp;A&amp;C&amp;D</oddFooter>
  </headerFooter>
  <ignoredErrors>
    <ignoredError sqref="E57:S67 E56:S56 E68:S68" formula="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9">
    <pageSetUpPr fitToPage="1"/>
  </sheetPr>
  <dimension ref="B1:AH162"/>
  <sheetViews>
    <sheetView defaultGridColor="0" colorId="23" zoomScale="80" zoomScaleNormal="80" workbookViewId="0"/>
  </sheetViews>
  <sheetFormatPr defaultColWidth="9.140625" defaultRowHeight="13.5" x14ac:dyDescent="0.3"/>
  <cols>
    <col min="1" max="1" width="2.7109375" style="667" customWidth="1"/>
    <col min="2" max="2" width="8.85546875" style="667" customWidth="1"/>
    <col min="3" max="3" width="61.85546875" style="667" customWidth="1"/>
    <col min="4" max="4" width="13.7109375" style="667" customWidth="1"/>
    <col min="5" max="5" width="13.5703125" style="667" customWidth="1"/>
    <col min="6" max="6" width="13.85546875" style="667" customWidth="1"/>
    <col min="7" max="7" width="12" style="667" customWidth="1"/>
    <col min="8" max="8" width="12.28515625" style="667" bestFit="1" customWidth="1"/>
    <col min="9" max="9" width="12.28515625" style="667" customWidth="1"/>
    <col min="10" max="17" width="12.28515625" style="667" bestFit="1" customWidth="1"/>
    <col min="18" max="20" width="12.28515625" style="667" customWidth="1"/>
    <col min="21" max="21" width="12.28515625" style="783" customWidth="1"/>
    <col min="22" max="29" width="12.28515625" style="667" customWidth="1"/>
    <col min="30" max="30" width="7.140625" style="667" customWidth="1"/>
    <col min="31" max="31" width="23" style="667" customWidth="1"/>
    <col min="32" max="35" width="7.140625" style="667" customWidth="1"/>
    <col min="36" max="16384" width="9.140625" style="667"/>
  </cols>
  <sheetData>
    <row r="1" spans="2:31" ht="14.25" thickBot="1" x14ac:dyDescent="0.35">
      <c r="E1" s="590"/>
    </row>
    <row r="2" spans="2:31" ht="14.25" x14ac:dyDescent="0.3">
      <c r="B2" s="597" t="s">
        <v>26</v>
      </c>
      <c r="C2" s="839" t="str">
        <f>IF('0 Úvod'!$M$10="English",Slovnik!$D$187,Slovnik!$C$187)</f>
        <v>Úspory z cestovních dob stávající dopravy (CZK)</v>
      </c>
      <c r="D2" s="695"/>
      <c r="E2" s="2363">
        <f>'1 CIN'!G3</f>
        <v>2021</v>
      </c>
      <c r="F2" s="2361">
        <f t="shared" ref="F2:S2" si="0">E2+1</f>
        <v>2022</v>
      </c>
      <c r="G2" s="2361">
        <f t="shared" si="0"/>
        <v>2023</v>
      </c>
      <c r="H2" s="2361">
        <f t="shared" si="0"/>
        <v>2024</v>
      </c>
      <c r="I2" s="2361">
        <f t="shared" si="0"/>
        <v>2025</v>
      </c>
      <c r="J2" s="2361">
        <f t="shared" si="0"/>
        <v>2026</v>
      </c>
      <c r="K2" s="2361">
        <f t="shared" si="0"/>
        <v>2027</v>
      </c>
      <c r="L2" s="2361">
        <f t="shared" si="0"/>
        <v>2028</v>
      </c>
      <c r="M2" s="2361">
        <f t="shared" si="0"/>
        <v>2029</v>
      </c>
      <c r="N2" s="2361">
        <f t="shared" si="0"/>
        <v>2030</v>
      </c>
      <c r="O2" s="2361">
        <f t="shared" si="0"/>
        <v>2031</v>
      </c>
      <c r="P2" s="2361">
        <f t="shared" si="0"/>
        <v>2032</v>
      </c>
      <c r="Q2" s="2361">
        <f t="shared" si="0"/>
        <v>2033</v>
      </c>
      <c r="R2" s="2361">
        <f t="shared" si="0"/>
        <v>2034</v>
      </c>
      <c r="S2" s="2365">
        <f t="shared" si="0"/>
        <v>2035</v>
      </c>
      <c r="T2" s="669"/>
      <c r="U2" s="669"/>
      <c r="V2" s="669"/>
      <c r="W2" s="669"/>
      <c r="X2" s="669"/>
      <c r="Y2" s="669"/>
      <c r="Z2" s="669"/>
      <c r="AA2" s="669"/>
      <c r="AB2" s="669"/>
      <c r="AC2" s="669"/>
      <c r="AE2" s="783"/>
    </row>
    <row r="3" spans="2:31" ht="15" thickBot="1" x14ac:dyDescent="0.35">
      <c r="B3" s="694" t="s">
        <v>23</v>
      </c>
      <c r="C3" s="840"/>
      <c r="D3" s="696" t="str">
        <f>IF('0 Úvod'!$M$10="English",Slovnik!$D$194,Slovnik!$C$194)</f>
        <v>Celkem</v>
      </c>
      <c r="E3" s="2364"/>
      <c r="F3" s="2362"/>
      <c r="G3" s="2362"/>
      <c r="H3" s="2362"/>
      <c r="I3" s="2362"/>
      <c r="J3" s="2362"/>
      <c r="K3" s="2362"/>
      <c r="L3" s="2362"/>
      <c r="M3" s="2362"/>
      <c r="N3" s="2362"/>
      <c r="O3" s="2362"/>
      <c r="P3" s="2362"/>
      <c r="Q3" s="2362"/>
      <c r="R3" s="2362"/>
      <c r="S3" s="2366"/>
      <c r="T3" s="669"/>
      <c r="U3" s="669"/>
      <c r="V3" s="669"/>
      <c r="W3" s="669"/>
      <c r="X3" s="669"/>
      <c r="Y3" s="669"/>
      <c r="Z3" s="669"/>
      <c r="AA3" s="669"/>
      <c r="AB3" s="669"/>
      <c r="AC3" s="669"/>
      <c r="AE3" s="783"/>
    </row>
    <row r="4" spans="2:31" ht="14.25" x14ac:dyDescent="0.3">
      <c r="B4" s="2434" t="str">
        <f>IF('0 Úvod'!$M$10="English",Slovnik!$D$185,Slovnik!$C$185)</f>
        <v>ŽELEZNICE</v>
      </c>
      <c r="C4" s="607" t="str">
        <f>IF('0 Úvod'!$M$10="English",Slovnik!D188,Slovnik!C188)</f>
        <v>Osobní - příměstská</v>
      </c>
      <c r="D4" s="605">
        <f t="shared" ref="D4:D9" si="1">SUM(E4:S4,E13:S13)</f>
        <v>573070040.45748162</v>
      </c>
      <c r="E4" s="693"/>
      <c r="F4" s="693"/>
      <c r="G4" s="692">
        <f t="shared" ref="G4:S4" si="2">G102*(SUMPRODUCT($F$83:$F$90,$K$83:$K$90)*G146+SUMPRODUCT($F$81:$F$82,$K$81:$K$82)*G145)</f>
        <v>85734934.739377975</v>
      </c>
      <c r="H4" s="692">
        <f t="shared" si="2"/>
        <v>14291934.32337833</v>
      </c>
      <c r="I4" s="692">
        <f t="shared" si="2"/>
        <v>14596982.312402941</v>
      </c>
      <c r="J4" s="692">
        <f t="shared" si="2"/>
        <v>14881169.303363405</v>
      </c>
      <c r="K4" s="692">
        <f t="shared" si="2"/>
        <v>15170902.904284779</v>
      </c>
      <c r="L4" s="692">
        <f t="shared" si="2"/>
        <v>15466291.658039954</v>
      </c>
      <c r="M4" s="692">
        <f t="shared" si="2"/>
        <v>15767446.237557653</v>
      </c>
      <c r="N4" s="692">
        <f t="shared" si="2"/>
        <v>16074479.487746056</v>
      </c>
      <c r="O4" s="692">
        <f t="shared" si="2"/>
        <v>16338560.563195394</v>
      </c>
      <c r="P4" s="692">
        <f t="shared" si="2"/>
        <v>16606995.333369821</v>
      </c>
      <c r="Q4" s="692">
        <f t="shared" si="2"/>
        <v>16879855.843969829</v>
      </c>
      <c r="R4" s="692">
        <f t="shared" si="2"/>
        <v>17157215.337688379</v>
      </c>
      <c r="S4" s="2204">
        <f t="shared" si="2"/>
        <v>17439148.274182074</v>
      </c>
      <c r="T4" s="1981"/>
      <c r="U4" s="590"/>
      <c r="V4" s="590"/>
      <c r="W4" s="590"/>
      <c r="X4" s="590"/>
      <c r="Y4" s="590"/>
      <c r="Z4" s="590"/>
      <c r="AA4" s="590"/>
      <c r="AB4" s="590"/>
      <c r="AC4" s="590"/>
      <c r="AE4" s="783"/>
    </row>
    <row r="5" spans="2:31" ht="14.25" x14ac:dyDescent="0.3">
      <c r="B5" s="2435"/>
      <c r="C5" s="607" t="str">
        <f>IF('0 Úvod'!$M$10="English",Slovnik!D189,Slovnik!C189)</f>
        <v>Osobní - dálková</v>
      </c>
      <c r="D5" s="608">
        <f t="shared" si="1"/>
        <v>0</v>
      </c>
      <c r="E5" s="693"/>
      <c r="F5" s="693"/>
      <c r="G5" s="693"/>
      <c r="H5" s="693"/>
      <c r="I5" s="693"/>
      <c r="J5" s="693"/>
      <c r="K5" s="693"/>
      <c r="L5" s="693"/>
      <c r="M5" s="693"/>
      <c r="N5" s="693"/>
      <c r="O5" s="693"/>
      <c r="P5" s="693"/>
      <c r="Q5" s="693"/>
      <c r="R5" s="693"/>
      <c r="S5" s="693"/>
      <c r="T5" s="1981"/>
      <c r="U5" s="590"/>
      <c r="V5" s="590"/>
      <c r="W5" s="590"/>
      <c r="X5" s="590"/>
      <c r="Y5" s="590"/>
      <c r="Z5" s="590"/>
      <c r="AA5" s="590"/>
      <c r="AB5" s="590"/>
      <c r="AC5" s="590"/>
      <c r="AE5" s="783"/>
    </row>
    <row r="6" spans="2:31" ht="14.25" x14ac:dyDescent="0.3">
      <c r="B6" s="2435"/>
      <c r="C6" s="607" t="str">
        <f>IF('0 Úvod'!$M$10="English",Slovnik!D190,Slovnik!C190)</f>
        <v>Nákladní - místní</v>
      </c>
      <c r="D6" s="608">
        <f t="shared" si="1"/>
        <v>0</v>
      </c>
      <c r="E6" s="693"/>
      <c r="F6" s="693"/>
      <c r="G6" s="693"/>
      <c r="H6" s="693"/>
      <c r="I6" s="693"/>
      <c r="J6" s="693"/>
      <c r="K6" s="693"/>
      <c r="L6" s="693"/>
      <c r="M6" s="693"/>
      <c r="N6" s="693"/>
      <c r="O6" s="693"/>
      <c r="P6" s="693"/>
      <c r="Q6" s="693"/>
      <c r="R6" s="693"/>
      <c r="S6" s="693"/>
      <c r="T6" s="1981"/>
      <c r="U6" s="590"/>
      <c r="V6" s="590"/>
      <c r="W6" s="590"/>
      <c r="X6" s="590"/>
      <c r="Y6" s="590"/>
      <c r="Z6" s="590"/>
      <c r="AA6" s="590"/>
      <c r="AB6" s="590"/>
      <c r="AC6" s="590"/>
      <c r="AE6" s="783"/>
    </row>
    <row r="7" spans="2:31" ht="12" customHeight="1" x14ac:dyDescent="0.3">
      <c r="B7" s="2435"/>
      <c r="C7" s="607" t="str">
        <f>IF('0 Úvod'!$M$10="English",Slovnik!D191,Slovnik!C191)</f>
        <v>Nákladní - dálková</v>
      </c>
      <c r="D7" s="1238">
        <f t="shared" si="1"/>
        <v>0</v>
      </c>
      <c r="E7" s="693"/>
      <c r="F7" s="693"/>
      <c r="G7" s="693"/>
      <c r="H7" s="693"/>
      <c r="I7" s="693"/>
      <c r="J7" s="693"/>
      <c r="K7" s="693"/>
      <c r="L7" s="693"/>
      <c r="M7" s="693"/>
      <c r="N7" s="693"/>
      <c r="O7" s="693"/>
      <c r="P7" s="693"/>
      <c r="Q7" s="693"/>
      <c r="R7" s="693"/>
      <c r="S7" s="693"/>
      <c r="T7" s="1981"/>
      <c r="U7" s="590"/>
      <c r="V7" s="590"/>
      <c r="W7" s="590"/>
      <c r="X7" s="590"/>
      <c r="Y7" s="590"/>
      <c r="Z7" s="590"/>
      <c r="AA7" s="590"/>
      <c r="AB7" s="590"/>
      <c r="AC7" s="590"/>
      <c r="AE7" s="783"/>
    </row>
    <row r="8" spans="2:31" ht="12" customHeight="1" x14ac:dyDescent="0.3">
      <c r="B8" s="1762" t="str">
        <f>IF('0 Úvod'!$M$10="English",Slovnik!$D$186,Slovnik!$C$186)</f>
        <v>SILNICE</v>
      </c>
      <c r="C8" s="610" t="str">
        <f>IF('0 Úvod'!$M$10="English",Slovnik!D192,Slovnik!C192)</f>
        <v>Osobní a nákladní doprava silniční (dle HDM-4)</v>
      </c>
      <c r="D8" s="843">
        <f t="shared" si="1"/>
        <v>0</v>
      </c>
      <c r="E8" s="1983">
        <f>('Vstupy z HDM-4 a EXNAD'!E8-'Vstupy z HDM-4 a EXNAD'!J8)/'12 Ekonomická analýza (ERR)'!F21*1000000*E146</f>
        <v>0</v>
      </c>
      <c r="F8" s="1984">
        <f>('Vstupy z HDM-4 a EXNAD'!E9-'Vstupy z HDM-4 a EXNAD'!J9)/'12 Ekonomická analýza (ERR)'!G21*1000000*F146</f>
        <v>0</v>
      </c>
      <c r="G8" s="1984">
        <f>('Vstupy z HDM-4 a EXNAD'!E10-'Vstupy z HDM-4 a EXNAD'!J10)/'12 Ekonomická analýza (ERR)'!H21*1000000*G146</f>
        <v>0</v>
      </c>
      <c r="H8" s="1984">
        <f>('Vstupy z HDM-4 a EXNAD'!E11-'Vstupy z HDM-4 a EXNAD'!J11)/'12 Ekonomická analýza (ERR)'!I21*1000000*H146</f>
        <v>0</v>
      </c>
      <c r="I8" s="1984">
        <f>('Vstupy z HDM-4 a EXNAD'!E12-'Vstupy z HDM-4 a EXNAD'!J12)/'12 Ekonomická analýza (ERR)'!J21*1000000*I146</f>
        <v>0</v>
      </c>
      <c r="J8" s="1984">
        <f>('Vstupy z HDM-4 a EXNAD'!E13-'Vstupy z HDM-4 a EXNAD'!J13)/'12 Ekonomická analýza (ERR)'!K21*1000000*J146</f>
        <v>0</v>
      </c>
      <c r="K8" s="1984">
        <f>('Vstupy z HDM-4 a EXNAD'!E14-'Vstupy z HDM-4 a EXNAD'!J14)/'12 Ekonomická analýza (ERR)'!L21*1000000*K146</f>
        <v>0</v>
      </c>
      <c r="L8" s="1984">
        <f>('Vstupy z HDM-4 a EXNAD'!E15-'Vstupy z HDM-4 a EXNAD'!J15)/'12 Ekonomická analýza (ERR)'!M21*1000000*L146</f>
        <v>0</v>
      </c>
      <c r="M8" s="1984">
        <f>('Vstupy z HDM-4 a EXNAD'!E16-'Vstupy z HDM-4 a EXNAD'!J16)/'12 Ekonomická analýza (ERR)'!N21*1000000*M146</f>
        <v>0</v>
      </c>
      <c r="N8" s="1984">
        <f>('Vstupy z HDM-4 a EXNAD'!E17-'Vstupy z HDM-4 a EXNAD'!J17)/'12 Ekonomická analýza (ERR)'!O21*1000000*N146</f>
        <v>0</v>
      </c>
      <c r="O8" s="1984">
        <f>('Vstupy z HDM-4 a EXNAD'!E18-'Vstupy z HDM-4 a EXNAD'!J18)/'12 Ekonomická analýza (ERR)'!P21*1000000*O146</f>
        <v>0</v>
      </c>
      <c r="P8" s="1984">
        <f>('Vstupy z HDM-4 a EXNAD'!E19-'Vstupy z HDM-4 a EXNAD'!J19)/'12 Ekonomická analýza (ERR)'!Q21*1000000*P146</f>
        <v>0</v>
      </c>
      <c r="Q8" s="1984">
        <f>('Vstupy z HDM-4 a EXNAD'!E20-'Vstupy z HDM-4 a EXNAD'!J20)/'12 Ekonomická analýza (ERR)'!R21*1000000*Q146</f>
        <v>0</v>
      </c>
      <c r="R8" s="1984">
        <f>('Vstupy z HDM-4 a EXNAD'!E21-'Vstupy z HDM-4 a EXNAD'!J21)/'12 Ekonomická analýza (ERR)'!S21*1000000*R146</f>
        <v>0</v>
      </c>
      <c r="S8" s="1985">
        <f>('Vstupy z HDM-4 a EXNAD'!E22-'Vstupy z HDM-4 a EXNAD'!J22)/'12 Ekonomická analýza (ERR)'!T21*1000000*S146</f>
        <v>0</v>
      </c>
      <c r="T8" s="590"/>
      <c r="U8" s="590"/>
      <c r="V8" s="590"/>
      <c r="W8" s="590"/>
      <c r="X8" s="590"/>
      <c r="Y8" s="590"/>
      <c r="Z8" s="590"/>
      <c r="AA8" s="590"/>
      <c r="AB8" s="590"/>
      <c r="AC8" s="590"/>
      <c r="AE8" s="783"/>
    </row>
    <row r="9" spans="2:31" ht="15" thickBot="1" x14ac:dyDescent="0.35">
      <c r="B9" s="1763"/>
      <c r="C9" s="1764" t="str">
        <f>IF('0 Úvod'!$M$10="English",Slovnik!D193,Slovnik!C193)</f>
        <v>Celkové úspory z cestovních dob v železniční dopravě</v>
      </c>
      <c r="D9" s="769">
        <f t="shared" si="1"/>
        <v>573070040.45748162</v>
      </c>
      <c r="E9" s="1765">
        <f t="shared" ref="E9:S9" si="3">SUM(E4:E8)</f>
        <v>0</v>
      </c>
      <c r="F9" s="1766">
        <f t="shared" si="3"/>
        <v>0</v>
      </c>
      <c r="G9" s="1766">
        <f t="shared" si="3"/>
        <v>85734934.739377975</v>
      </c>
      <c r="H9" s="1766">
        <f t="shared" si="3"/>
        <v>14291934.32337833</v>
      </c>
      <c r="I9" s="1766">
        <f t="shared" si="3"/>
        <v>14596982.312402941</v>
      </c>
      <c r="J9" s="1766">
        <f t="shared" si="3"/>
        <v>14881169.303363405</v>
      </c>
      <c r="K9" s="1766">
        <f t="shared" si="3"/>
        <v>15170902.904284779</v>
      </c>
      <c r="L9" s="1766">
        <f t="shared" si="3"/>
        <v>15466291.658039954</v>
      </c>
      <c r="M9" s="1766">
        <f t="shared" si="3"/>
        <v>15767446.237557653</v>
      </c>
      <c r="N9" s="1766">
        <f t="shared" si="3"/>
        <v>16074479.487746056</v>
      </c>
      <c r="O9" s="1766">
        <f t="shared" si="3"/>
        <v>16338560.563195394</v>
      </c>
      <c r="P9" s="1766">
        <f t="shared" si="3"/>
        <v>16606995.333369821</v>
      </c>
      <c r="Q9" s="1766">
        <f t="shared" si="3"/>
        <v>16879855.843969829</v>
      </c>
      <c r="R9" s="1766">
        <f t="shared" si="3"/>
        <v>17157215.337688379</v>
      </c>
      <c r="S9" s="1767">
        <f t="shared" si="3"/>
        <v>17439148.274182074</v>
      </c>
      <c r="T9" s="590"/>
      <c r="U9" s="590"/>
      <c r="V9" s="590"/>
      <c r="W9" s="590"/>
      <c r="X9" s="590"/>
      <c r="Y9" s="590"/>
      <c r="Z9" s="590"/>
      <c r="AA9" s="590"/>
      <c r="AB9" s="590"/>
      <c r="AC9" s="590"/>
      <c r="AE9" s="786"/>
    </row>
    <row r="10" spans="2:31" ht="14.25" thickBot="1" x14ac:dyDescent="0.35">
      <c r="C10" s="666"/>
      <c r="D10" s="679"/>
      <c r="E10" s="673"/>
      <c r="F10" s="673"/>
      <c r="G10" s="673"/>
      <c r="H10" s="673"/>
      <c r="I10" s="673"/>
      <c r="J10" s="673"/>
      <c r="K10" s="673"/>
      <c r="L10" s="673"/>
      <c r="M10" s="673"/>
      <c r="N10" s="673"/>
      <c r="O10" s="673"/>
      <c r="P10" s="673"/>
      <c r="Q10" s="673"/>
      <c r="R10" s="673"/>
      <c r="S10" s="673"/>
      <c r="T10" s="590"/>
      <c r="U10" s="590"/>
      <c r="V10" s="590"/>
      <c r="W10" s="590"/>
      <c r="X10" s="590"/>
      <c r="Y10" s="590"/>
      <c r="Z10" s="590"/>
      <c r="AA10" s="590"/>
      <c r="AB10" s="590"/>
      <c r="AC10" s="590"/>
      <c r="AE10" s="783"/>
    </row>
    <row r="11" spans="2:31" ht="14.25" x14ac:dyDescent="0.3">
      <c r="B11" s="597" t="s">
        <v>26</v>
      </c>
      <c r="C11" s="839" t="str">
        <f>C2</f>
        <v>Úspory z cestovních dob stávající dopravy (CZK)</v>
      </c>
      <c r="D11" s="695"/>
      <c r="E11" s="2363">
        <f>S2+1</f>
        <v>2036</v>
      </c>
      <c r="F11" s="2361">
        <f t="shared" ref="F11:S11" si="4">E11+1</f>
        <v>2037</v>
      </c>
      <c r="G11" s="2361">
        <f t="shared" si="4"/>
        <v>2038</v>
      </c>
      <c r="H11" s="2361">
        <f t="shared" si="4"/>
        <v>2039</v>
      </c>
      <c r="I11" s="2361">
        <f t="shared" si="4"/>
        <v>2040</v>
      </c>
      <c r="J11" s="2361">
        <f t="shared" si="4"/>
        <v>2041</v>
      </c>
      <c r="K11" s="2361">
        <f t="shared" si="4"/>
        <v>2042</v>
      </c>
      <c r="L11" s="2361">
        <f t="shared" si="4"/>
        <v>2043</v>
      </c>
      <c r="M11" s="2361">
        <f t="shared" si="4"/>
        <v>2044</v>
      </c>
      <c r="N11" s="2361">
        <f t="shared" si="4"/>
        <v>2045</v>
      </c>
      <c r="O11" s="2361">
        <f t="shared" si="4"/>
        <v>2046</v>
      </c>
      <c r="P11" s="2361">
        <f t="shared" si="4"/>
        <v>2047</v>
      </c>
      <c r="Q11" s="2361">
        <f t="shared" si="4"/>
        <v>2048</v>
      </c>
      <c r="R11" s="2361">
        <f t="shared" si="4"/>
        <v>2049</v>
      </c>
      <c r="S11" s="2365">
        <f t="shared" si="4"/>
        <v>2050</v>
      </c>
      <c r="T11" s="669"/>
      <c r="U11" s="669"/>
      <c r="V11" s="669"/>
      <c r="W11" s="669"/>
      <c r="X11" s="669"/>
      <c r="Y11" s="669"/>
      <c r="Z11" s="669"/>
      <c r="AA11" s="669"/>
      <c r="AB11" s="669"/>
      <c r="AC11" s="669"/>
      <c r="AE11" s="783"/>
    </row>
    <row r="12" spans="2:31" s="666" customFormat="1" ht="15" thickBot="1" x14ac:dyDescent="0.35">
      <c r="B12" s="694" t="s">
        <v>24</v>
      </c>
      <c r="C12" s="840"/>
      <c r="D12" s="697"/>
      <c r="E12" s="2364"/>
      <c r="F12" s="2362"/>
      <c r="G12" s="2362"/>
      <c r="H12" s="2362"/>
      <c r="I12" s="2362"/>
      <c r="J12" s="2362"/>
      <c r="K12" s="2362"/>
      <c r="L12" s="2362"/>
      <c r="M12" s="2362"/>
      <c r="N12" s="2362"/>
      <c r="O12" s="2362"/>
      <c r="P12" s="2362"/>
      <c r="Q12" s="2362"/>
      <c r="R12" s="2362"/>
      <c r="S12" s="2366"/>
      <c r="T12" s="669"/>
      <c r="U12" s="669"/>
      <c r="V12" s="669"/>
      <c r="W12" s="669"/>
      <c r="X12" s="669"/>
      <c r="Y12" s="669"/>
      <c r="Z12" s="669"/>
      <c r="AA12" s="669"/>
      <c r="AB12" s="669"/>
      <c r="AC12" s="669"/>
      <c r="AE12" s="787"/>
    </row>
    <row r="13" spans="2:31" s="666" customFormat="1" ht="14.25" x14ac:dyDescent="0.3">
      <c r="B13" s="2434" t="str">
        <f>B4</f>
        <v>ŽELEZNICE</v>
      </c>
      <c r="C13" s="607" t="str">
        <f>C4</f>
        <v>Osobní - příměstská</v>
      </c>
      <c r="D13" s="912"/>
      <c r="E13" s="2215">
        <f>E112*(SUMPRODUCT($F$83:$F$90,$K$83:$K$90)*E152+SUMPRODUCT($F$81:$F$82,$K$81:$K$82)*E151)</f>
        <v>17714025.330467973</v>
      </c>
      <c r="F13" s="692">
        <f t="shared" ref="F13:S13" si="5">F112*(SUMPRODUCT($F$83:$F$90,$K$83:$K$90)*F152+SUMPRODUCT($F$81:$F$82,$K$81:$K$82)*F151)</f>
        <v>17993251.612381209</v>
      </c>
      <c r="G13" s="692">
        <f t="shared" si="5"/>
        <v>18276896.218278233</v>
      </c>
      <c r="H13" s="692">
        <f t="shared" si="5"/>
        <v>18565029.349123865</v>
      </c>
      <c r="I13" s="692">
        <f t="shared" si="5"/>
        <v>18857722.326167047</v>
      </c>
      <c r="J13" s="692">
        <f t="shared" si="5"/>
        <v>19147382.661363602</v>
      </c>
      <c r="K13" s="692">
        <f t="shared" si="5"/>
        <v>19441510.316437297</v>
      </c>
      <c r="L13" s="692">
        <f t="shared" si="5"/>
        <v>19740174.489482481</v>
      </c>
      <c r="M13" s="692">
        <f t="shared" si="5"/>
        <v>20043445.455438755</v>
      </c>
      <c r="N13" s="692">
        <f t="shared" si="5"/>
        <v>20351394.582930654</v>
      </c>
      <c r="O13" s="692">
        <f t="shared" si="5"/>
        <v>20663339.714785881</v>
      </c>
      <c r="P13" s="692">
        <f t="shared" si="5"/>
        <v>20980085.931691475</v>
      </c>
      <c r="Q13" s="692">
        <f t="shared" si="5"/>
        <v>21301707.451599143</v>
      </c>
      <c r="R13" s="692">
        <f t="shared" si="5"/>
        <v>21628279.645143665</v>
      </c>
      <c r="S13" s="2204">
        <f t="shared" si="5"/>
        <v>21959879.053633802</v>
      </c>
      <c r="T13" s="1981"/>
      <c r="U13" s="590"/>
      <c r="V13" s="590"/>
      <c r="W13" s="590"/>
      <c r="X13" s="590"/>
      <c r="Y13" s="590"/>
      <c r="Z13" s="590"/>
      <c r="AA13" s="590"/>
      <c r="AB13" s="590"/>
      <c r="AC13" s="590"/>
      <c r="AE13" s="787"/>
    </row>
    <row r="14" spans="2:31" ht="14.25" x14ac:dyDescent="0.3">
      <c r="B14" s="2435"/>
      <c r="C14" s="607" t="str">
        <f>C5</f>
        <v>Osobní - dálková</v>
      </c>
      <c r="D14" s="625"/>
      <c r="E14" s="693"/>
      <c r="F14" s="693"/>
      <c r="G14" s="693"/>
      <c r="H14" s="693"/>
      <c r="I14" s="693"/>
      <c r="J14" s="693"/>
      <c r="K14" s="693"/>
      <c r="L14" s="693"/>
      <c r="M14" s="693"/>
      <c r="N14" s="693"/>
      <c r="O14" s="693"/>
      <c r="P14" s="693"/>
      <c r="Q14" s="693"/>
      <c r="R14" s="693"/>
      <c r="S14" s="693"/>
      <c r="T14" s="1981"/>
      <c r="U14" s="590"/>
      <c r="V14" s="590"/>
      <c r="W14" s="590"/>
      <c r="X14" s="590"/>
      <c r="Y14" s="590"/>
      <c r="Z14" s="590"/>
      <c r="AA14" s="590"/>
      <c r="AB14" s="590"/>
      <c r="AC14" s="590"/>
      <c r="AE14" s="783"/>
    </row>
    <row r="15" spans="2:31" ht="14.25" x14ac:dyDescent="0.3">
      <c r="B15" s="2435"/>
      <c r="C15" s="607" t="str">
        <f>C6</f>
        <v>Nákladní - místní</v>
      </c>
      <c r="D15" s="625"/>
      <c r="E15" s="693"/>
      <c r="F15" s="693"/>
      <c r="G15" s="693"/>
      <c r="H15" s="693"/>
      <c r="I15" s="693"/>
      <c r="J15" s="693"/>
      <c r="K15" s="693"/>
      <c r="L15" s="693"/>
      <c r="M15" s="693"/>
      <c r="N15" s="693"/>
      <c r="O15" s="693"/>
      <c r="P15" s="693"/>
      <c r="Q15" s="693"/>
      <c r="R15" s="693"/>
      <c r="S15" s="693"/>
      <c r="T15" s="1981"/>
      <c r="U15" s="590"/>
      <c r="V15" s="590"/>
      <c r="W15" s="590"/>
      <c r="X15" s="590"/>
      <c r="Y15" s="590"/>
      <c r="Z15" s="590"/>
      <c r="AA15" s="590"/>
      <c r="AB15" s="590"/>
      <c r="AC15" s="590"/>
      <c r="AE15" s="783"/>
    </row>
    <row r="16" spans="2:31" ht="14.25" x14ac:dyDescent="0.3">
      <c r="B16" s="2435"/>
      <c r="C16" s="607" t="str">
        <f>C7</f>
        <v>Nákladní - dálková</v>
      </c>
      <c r="D16" s="1240"/>
      <c r="E16" s="693"/>
      <c r="F16" s="693"/>
      <c r="G16" s="693"/>
      <c r="H16" s="693"/>
      <c r="I16" s="693"/>
      <c r="J16" s="693"/>
      <c r="K16" s="693"/>
      <c r="L16" s="693"/>
      <c r="M16" s="693"/>
      <c r="N16" s="693"/>
      <c r="O16" s="693"/>
      <c r="P16" s="693"/>
      <c r="Q16" s="693"/>
      <c r="R16" s="693"/>
      <c r="S16" s="693"/>
      <c r="T16" s="1981"/>
      <c r="U16" s="590"/>
      <c r="V16" s="590"/>
      <c r="W16" s="590"/>
      <c r="X16" s="590"/>
      <c r="Y16" s="590"/>
      <c r="Z16" s="590"/>
      <c r="AA16" s="590"/>
      <c r="AB16" s="590"/>
      <c r="AC16" s="590"/>
      <c r="AE16" s="783"/>
    </row>
    <row r="17" spans="2:34" ht="14.25" x14ac:dyDescent="0.3">
      <c r="B17" s="1762" t="str">
        <f>B8</f>
        <v>SILNICE</v>
      </c>
      <c r="C17" s="610" t="str">
        <f>C8</f>
        <v>Osobní a nákladní doprava silniční (dle HDM-4)</v>
      </c>
      <c r="D17" s="844"/>
      <c r="E17" s="1983">
        <f>('Vstupy z HDM-4 a EXNAD'!E23-'Vstupy z HDM-4 a EXNAD'!J23)/'12 Ekonomická analýza (ERR)'!F43*1000000*E152</f>
        <v>0</v>
      </c>
      <c r="F17" s="1984">
        <f>('Vstupy z HDM-4 a EXNAD'!E24-'Vstupy z HDM-4 a EXNAD'!J24)/'12 Ekonomická analýza (ERR)'!G43*1000000*F152</f>
        <v>0</v>
      </c>
      <c r="G17" s="1984">
        <f>('Vstupy z HDM-4 a EXNAD'!E25-'Vstupy z HDM-4 a EXNAD'!J25)/'12 Ekonomická analýza (ERR)'!H43*1000000*G152</f>
        <v>0</v>
      </c>
      <c r="H17" s="1984">
        <f>('Vstupy z HDM-4 a EXNAD'!E26-'Vstupy z HDM-4 a EXNAD'!J26)/'12 Ekonomická analýza (ERR)'!I43*1000000*H152</f>
        <v>0</v>
      </c>
      <c r="I17" s="1984">
        <f>('Vstupy z HDM-4 a EXNAD'!E27-'Vstupy z HDM-4 a EXNAD'!J27)/'12 Ekonomická analýza (ERR)'!J43*1000000*I152</f>
        <v>0</v>
      </c>
      <c r="J17" s="1984">
        <f>('Vstupy z HDM-4 a EXNAD'!E28-'Vstupy z HDM-4 a EXNAD'!J28)/'12 Ekonomická analýza (ERR)'!K43*1000000*J152</f>
        <v>0</v>
      </c>
      <c r="K17" s="1984">
        <f>('Vstupy z HDM-4 a EXNAD'!E29-'Vstupy z HDM-4 a EXNAD'!J29)/'12 Ekonomická analýza (ERR)'!L43*1000000*K152</f>
        <v>0</v>
      </c>
      <c r="L17" s="1984">
        <f>('Vstupy z HDM-4 a EXNAD'!E30-'Vstupy z HDM-4 a EXNAD'!J30)/'12 Ekonomická analýza (ERR)'!M43*1000000*L152</f>
        <v>0</v>
      </c>
      <c r="M17" s="1984">
        <f>('Vstupy z HDM-4 a EXNAD'!E31-'Vstupy z HDM-4 a EXNAD'!J31)/'12 Ekonomická analýza (ERR)'!N43*1000000*M152</f>
        <v>0</v>
      </c>
      <c r="N17" s="1984">
        <f>('Vstupy z HDM-4 a EXNAD'!E32-'Vstupy z HDM-4 a EXNAD'!J32)/'12 Ekonomická analýza (ERR)'!O43*1000000*N152</f>
        <v>0</v>
      </c>
      <c r="O17" s="1984">
        <f>('Vstupy z HDM-4 a EXNAD'!E33-'Vstupy z HDM-4 a EXNAD'!J33)/'12 Ekonomická analýza (ERR)'!P43*1000000*O152</f>
        <v>0</v>
      </c>
      <c r="P17" s="1984">
        <f>('Vstupy z HDM-4 a EXNAD'!E34-'Vstupy z HDM-4 a EXNAD'!J34)/'12 Ekonomická analýza (ERR)'!Q43*1000000*P152</f>
        <v>0</v>
      </c>
      <c r="Q17" s="1984">
        <f>('Vstupy z HDM-4 a EXNAD'!E35-'Vstupy z HDM-4 a EXNAD'!J35)/'12 Ekonomická analýza (ERR)'!R43*1000000*Q152</f>
        <v>0</v>
      </c>
      <c r="R17" s="1984">
        <f>('Vstupy z HDM-4 a EXNAD'!E36-'Vstupy z HDM-4 a EXNAD'!J36)/'12 Ekonomická analýza (ERR)'!S43*1000000*R152</f>
        <v>0</v>
      </c>
      <c r="S17" s="1985">
        <f>('Vstupy z HDM-4 a EXNAD'!E37-'Vstupy z HDM-4 a EXNAD'!J37)/'12 Ekonomická analýza (ERR)'!T43*1000000*S152</f>
        <v>0</v>
      </c>
      <c r="T17" s="590"/>
      <c r="U17" s="590"/>
      <c r="V17" s="590"/>
      <c r="W17" s="590"/>
      <c r="X17" s="590"/>
      <c r="Y17" s="590"/>
      <c r="Z17" s="590"/>
      <c r="AA17" s="590"/>
      <c r="AB17" s="590"/>
      <c r="AC17" s="590"/>
      <c r="AE17" s="783"/>
    </row>
    <row r="18" spans="2:34" ht="15" thickBot="1" x14ac:dyDescent="0.35">
      <c r="B18" s="1763"/>
      <c r="C18" s="1764" t="str">
        <f>C9</f>
        <v>Celkové úspory z cestovních dob v železniční dopravě</v>
      </c>
      <c r="D18" s="1768"/>
      <c r="E18" s="1765">
        <f t="shared" ref="E18:S18" si="6">SUM(E13:E17)</f>
        <v>17714025.330467973</v>
      </c>
      <c r="F18" s="1766">
        <f t="shared" si="6"/>
        <v>17993251.612381209</v>
      </c>
      <c r="G18" s="1766">
        <f t="shared" si="6"/>
        <v>18276896.218278233</v>
      </c>
      <c r="H18" s="1766">
        <f t="shared" si="6"/>
        <v>18565029.349123865</v>
      </c>
      <c r="I18" s="1766">
        <f t="shared" si="6"/>
        <v>18857722.326167047</v>
      </c>
      <c r="J18" s="1766">
        <f t="shared" si="6"/>
        <v>19147382.661363602</v>
      </c>
      <c r="K18" s="1766">
        <f t="shared" si="6"/>
        <v>19441510.316437297</v>
      </c>
      <c r="L18" s="1766">
        <f t="shared" si="6"/>
        <v>19740174.489482481</v>
      </c>
      <c r="M18" s="1766">
        <f t="shared" si="6"/>
        <v>20043445.455438755</v>
      </c>
      <c r="N18" s="1766">
        <f t="shared" si="6"/>
        <v>20351394.582930654</v>
      </c>
      <c r="O18" s="1766">
        <f t="shared" si="6"/>
        <v>20663339.714785881</v>
      </c>
      <c r="P18" s="1766">
        <f t="shared" si="6"/>
        <v>20980085.931691475</v>
      </c>
      <c r="Q18" s="1766">
        <f t="shared" si="6"/>
        <v>21301707.451599143</v>
      </c>
      <c r="R18" s="1766">
        <f t="shared" si="6"/>
        <v>21628279.645143665</v>
      </c>
      <c r="S18" s="1767">
        <f t="shared" si="6"/>
        <v>21959879.053633802</v>
      </c>
      <c r="T18" s="590"/>
      <c r="U18" s="590"/>
      <c r="V18" s="590"/>
      <c r="W18" s="590"/>
      <c r="X18" s="590"/>
      <c r="Y18" s="590"/>
      <c r="Z18" s="590"/>
      <c r="AA18" s="590"/>
      <c r="AB18" s="590"/>
      <c r="AC18" s="590"/>
      <c r="AE18" s="783"/>
    </row>
    <row r="19" spans="2:34" ht="14.25" x14ac:dyDescent="0.3">
      <c r="B19" s="788"/>
      <c r="C19" s="666"/>
      <c r="D19" s="590"/>
      <c r="E19" s="683"/>
      <c r="F19" s="683"/>
      <c r="G19" s="683"/>
      <c r="H19" s="683"/>
      <c r="I19" s="683"/>
      <c r="J19" s="683"/>
      <c r="K19" s="683"/>
      <c r="L19" s="683"/>
      <c r="M19" s="683"/>
      <c r="N19" s="683"/>
      <c r="O19" s="683"/>
      <c r="P19" s="683"/>
      <c r="Q19" s="683"/>
      <c r="R19" s="683"/>
      <c r="S19" s="683"/>
      <c r="T19" s="672"/>
      <c r="U19" s="672"/>
      <c r="V19" s="672"/>
      <c r="W19" s="672"/>
      <c r="X19" s="672"/>
      <c r="Y19" s="672"/>
      <c r="Z19" s="672"/>
      <c r="AA19" s="672"/>
      <c r="AB19" s="672"/>
      <c r="AC19" s="672"/>
      <c r="AE19" s="783"/>
    </row>
    <row r="20" spans="2:34" ht="14.25" thickBot="1" x14ac:dyDescent="0.35">
      <c r="C20" s="666"/>
      <c r="D20" s="590"/>
      <c r="E20" s="590"/>
      <c r="F20" s="590"/>
      <c r="G20" s="590"/>
      <c r="H20" s="590"/>
      <c r="I20" s="590"/>
      <c r="J20" s="590"/>
      <c r="K20" s="590"/>
      <c r="L20" s="590"/>
      <c r="M20" s="590"/>
      <c r="N20" s="590"/>
      <c r="O20" s="590"/>
      <c r="P20" s="590"/>
      <c r="Q20" s="590"/>
      <c r="R20" s="590"/>
      <c r="S20" s="590"/>
      <c r="T20" s="590"/>
      <c r="U20" s="590"/>
      <c r="V20" s="590"/>
      <c r="W20" s="590"/>
      <c r="X20" s="590"/>
      <c r="Y20" s="590"/>
      <c r="Z20" s="590"/>
      <c r="AA20" s="590"/>
      <c r="AB20" s="590"/>
      <c r="AC20" s="590"/>
      <c r="AE20" s="783"/>
    </row>
    <row r="21" spans="2:34" ht="14.25" x14ac:dyDescent="0.3">
      <c r="B21" s="845" t="s">
        <v>140</v>
      </c>
      <c r="C21" s="846" t="str">
        <f>IF('0 Úvod'!$M$10="English",Slovnik!$D$195,Slovnik!$C$195)</f>
        <v>Úspory z cestovních dob indukované dopravy (CZK)</v>
      </c>
      <c r="D21" s="847"/>
      <c r="E21" s="2375">
        <f>E2</f>
        <v>2021</v>
      </c>
      <c r="F21" s="2369">
        <f t="shared" ref="F21:S21" si="7">E21+1</f>
        <v>2022</v>
      </c>
      <c r="G21" s="2369">
        <f t="shared" si="7"/>
        <v>2023</v>
      </c>
      <c r="H21" s="2369">
        <f t="shared" si="7"/>
        <v>2024</v>
      </c>
      <c r="I21" s="2369">
        <f t="shared" si="7"/>
        <v>2025</v>
      </c>
      <c r="J21" s="2369">
        <f t="shared" si="7"/>
        <v>2026</v>
      </c>
      <c r="K21" s="2369">
        <f t="shared" si="7"/>
        <v>2027</v>
      </c>
      <c r="L21" s="2369">
        <f t="shared" si="7"/>
        <v>2028</v>
      </c>
      <c r="M21" s="2369">
        <f t="shared" si="7"/>
        <v>2029</v>
      </c>
      <c r="N21" s="2369">
        <f t="shared" si="7"/>
        <v>2030</v>
      </c>
      <c r="O21" s="2369">
        <f t="shared" si="7"/>
        <v>2031</v>
      </c>
      <c r="P21" s="2369">
        <f t="shared" si="7"/>
        <v>2032</v>
      </c>
      <c r="Q21" s="2369">
        <f t="shared" si="7"/>
        <v>2033</v>
      </c>
      <c r="R21" s="2369">
        <f t="shared" si="7"/>
        <v>2034</v>
      </c>
      <c r="S21" s="2371">
        <f t="shared" si="7"/>
        <v>2035</v>
      </c>
      <c r="T21" s="669"/>
      <c r="U21" s="669"/>
      <c r="V21" s="669"/>
      <c r="W21" s="669"/>
      <c r="X21" s="669"/>
      <c r="Y21" s="669"/>
      <c r="Z21" s="669"/>
      <c r="AA21" s="669"/>
      <c r="AB21" s="669"/>
      <c r="AC21" s="669"/>
      <c r="AE21" s="783"/>
    </row>
    <row r="22" spans="2:34" ht="15" thickBot="1" x14ac:dyDescent="0.35">
      <c r="B22" s="848" t="s">
        <v>23</v>
      </c>
      <c r="C22" s="849"/>
      <c r="D22" s="850" t="str">
        <f>D3</f>
        <v>Celkem</v>
      </c>
      <c r="E22" s="2376"/>
      <c r="F22" s="2370"/>
      <c r="G22" s="2370"/>
      <c r="H22" s="2370"/>
      <c r="I22" s="2370"/>
      <c r="J22" s="2370"/>
      <c r="K22" s="2370"/>
      <c r="L22" s="2370"/>
      <c r="M22" s="2370"/>
      <c r="N22" s="2370"/>
      <c r="O22" s="2370"/>
      <c r="P22" s="2370"/>
      <c r="Q22" s="2370"/>
      <c r="R22" s="2370"/>
      <c r="S22" s="2372"/>
      <c r="T22" s="669"/>
      <c r="U22" s="669"/>
      <c r="V22" s="669"/>
      <c r="W22" s="669"/>
      <c r="X22" s="669"/>
      <c r="Y22" s="669"/>
      <c r="Z22" s="669"/>
      <c r="AA22" s="669"/>
      <c r="AB22" s="669"/>
      <c r="AC22" s="669"/>
      <c r="AE22" s="783"/>
    </row>
    <row r="23" spans="2:34" s="666" customFormat="1" ht="14.25" x14ac:dyDescent="0.3">
      <c r="B23" s="861"/>
      <c r="C23" s="607" t="str">
        <f>IF('0 Úvod'!$M$10="English",Slovnik!D196,Slovnik!C196)</f>
        <v>Osobní - příměstská</v>
      </c>
      <c r="D23" s="605">
        <f>SUM(E23:S23,E31:S31)</f>
        <v>0</v>
      </c>
      <c r="E23" s="693"/>
      <c r="F23" s="693"/>
      <c r="G23" s="693"/>
      <c r="H23" s="693"/>
      <c r="I23" s="693"/>
      <c r="J23" s="693"/>
      <c r="K23" s="693"/>
      <c r="L23" s="693"/>
      <c r="M23" s="693"/>
      <c r="N23" s="693"/>
      <c r="O23" s="693"/>
      <c r="P23" s="693"/>
      <c r="Q23" s="693"/>
      <c r="R23" s="693"/>
      <c r="S23" s="693"/>
      <c r="T23" s="1981"/>
      <c r="U23" s="590"/>
      <c r="V23" s="590"/>
      <c r="W23" s="590"/>
      <c r="X23" s="590"/>
      <c r="Y23" s="590"/>
      <c r="Z23" s="590"/>
      <c r="AA23" s="590"/>
      <c r="AB23" s="590"/>
      <c r="AC23" s="590"/>
      <c r="AD23" s="667"/>
      <c r="AE23" s="783"/>
      <c r="AF23" s="667"/>
      <c r="AG23" s="667"/>
      <c r="AH23" s="667"/>
    </row>
    <row r="24" spans="2:34" ht="14.25" x14ac:dyDescent="0.3">
      <c r="B24" s="862"/>
      <c r="C24" s="607" t="str">
        <f>IF('0 Úvod'!$M$10="English",Slovnik!D197,Slovnik!C197)</f>
        <v>Osobní - dálková</v>
      </c>
      <c r="D24" s="608">
        <f>SUM(E24:S24,E32:S32)</f>
        <v>0</v>
      </c>
      <c r="E24" s="693"/>
      <c r="F24" s="693"/>
      <c r="G24" s="693"/>
      <c r="H24" s="693"/>
      <c r="I24" s="693"/>
      <c r="J24" s="693"/>
      <c r="K24" s="693"/>
      <c r="L24" s="693"/>
      <c r="M24" s="693"/>
      <c r="N24" s="693"/>
      <c r="O24" s="693"/>
      <c r="P24" s="693"/>
      <c r="Q24" s="693"/>
      <c r="R24" s="693"/>
      <c r="S24" s="693"/>
      <c r="T24" s="1981"/>
      <c r="U24" s="590"/>
      <c r="V24" s="590"/>
      <c r="W24" s="590"/>
      <c r="X24" s="590"/>
      <c r="Y24" s="590"/>
      <c r="Z24" s="590"/>
      <c r="AA24" s="590"/>
      <c r="AB24" s="590"/>
      <c r="AC24" s="590"/>
      <c r="AE24" s="783"/>
    </row>
    <row r="25" spans="2:34" ht="14.25" x14ac:dyDescent="0.3">
      <c r="B25" s="862"/>
      <c r="C25" s="607" t="str">
        <f>IF('0 Úvod'!$M$10="English",Slovnik!D198,Slovnik!C198)</f>
        <v>Nákladní - místní</v>
      </c>
      <c r="D25" s="608">
        <f>SUM(E25:S25,E33:S33)</f>
        <v>0</v>
      </c>
      <c r="E25" s="693"/>
      <c r="F25" s="693"/>
      <c r="G25" s="693"/>
      <c r="H25" s="693"/>
      <c r="I25" s="693"/>
      <c r="J25" s="693"/>
      <c r="K25" s="693"/>
      <c r="L25" s="693"/>
      <c r="M25" s="693"/>
      <c r="N25" s="693"/>
      <c r="O25" s="693"/>
      <c r="P25" s="693"/>
      <c r="Q25" s="693"/>
      <c r="R25" s="693"/>
      <c r="S25" s="693"/>
      <c r="T25" s="1981"/>
      <c r="U25" s="590"/>
      <c r="V25" s="590"/>
      <c r="W25" s="590"/>
      <c r="X25" s="590"/>
      <c r="Y25" s="590"/>
      <c r="Z25" s="590"/>
      <c r="AA25" s="590"/>
      <c r="AB25" s="590"/>
      <c r="AC25" s="590"/>
      <c r="AE25" s="783"/>
    </row>
    <row r="26" spans="2:34" ht="12" customHeight="1" x14ac:dyDescent="0.3">
      <c r="B26" s="863"/>
      <c r="C26" s="864" t="str">
        <f>IF('0 Úvod'!$M$10="English",Slovnik!D199,Slovnik!C199)</f>
        <v>Nákladní - dálková</v>
      </c>
      <c r="D26" s="1238">
        <f>SUM(E26:S26,E34:S34)</f>
        <v>0</v>
      </c>
      <c r="E26" s="1980"/>
      <c r="F26" s="1980"/>
      <c r="G26" s="1980"/>
      <c r="H26" s="1980"/>
      <c r="I26" s="1980"/>
      <c r="J26" s="1980"/>
      <c r="K26" s="1980"/>
      <c r="L26" s="1980"/>
      <c r="M26" s="1980"/>
      <c r="N26" s="1980"/>
      <c r="O26" s="1980"/>
      <c r="P26" s="1980"/>
      <c r="Q26" s="1980"/>
      <c r="R26" s="1980"/>
      <c r="S26" s="1980"/>
      <c r="T26" s="1982"/>
      <c r="U26" s="785"/>
      <c r="V26" s="785"/>
      <c r="W26" s="785"/>
      <c r="X26" s="785"/>
      <c r="Y26" s="785"/>
      <c r="Z26" s="785"/>
      <c r="AA26" s="785"/>
      <c r="AB26" s="785"/>
      <c r="AC26" s="785"/>
      <c r="AE26" s="783"/>
    </row>
    <row r="27" spans="2:34" ht="15" thickBot="1" x14ac:dyDescent="0.35">
      <c r="B27" s="855"/>
      <c r="C27" s="856" t="str">
        <f>IF('0 Úvod'!$M$10="English",Slovnik!D200,Slovnik!C200)</f>
        <v>Celkové úspory z cestovních dob indukované dopravy</v>
      </c>
      <c r="D27" s="857">
        <f>SUM(E27:S27,E35:S35)</f>
        <v>0</v>
      </c>
      <c r="E27" s="1986">
        <f t="shared" ref="E27:S27" si="8">SUM(E23:E26)</f>
        <v>0</v>
      </c>
      <c r="F27" s="1987">
        <f t="shared" si="8"/>
        <v>0</v>
      </c>
      <c r="G27" s="1987">
        <f t="shared" si="8"/>
        <v>0</v>
      </c>
      <c r="H27" s="1987">
        <f t="shared" si="8"/>
        <v>0</v>
      </c>
      <c r="I27" s="1987">
        <f t="shared" si="8"/>
        <v>0</v>
      </c>
      <c r="J27" s="1987">
        <f t="shared" si="8"/>
        <v>0</v>
      </c>
      <c r="K27" s="1987">
        <f t="shared" si="8"/>
        <v>0</v>
      </c>
      <c r="L27" s="1987">
        <f t="shared" si="8"/>
        <v>0</v>
      </c>
      <c r="M27" s="1987">
        <f t="shared" si="8"/>
        <v>0</v>
      </c>
      <c r="N27" s="1987">
        <f t="shared" si="8"/>
        <v>0</v>
      </c>
      <c r="O27" s="1987">
        <f t="shared" si="8"/>
        <v>0</v>
      </c>
      <c r="P27" s="1987">
        <f t="shared" si="8"/>
        <v>0</v>
      </c>
      <c r="Q27" s="1987">
        <f t="shared" si="8"/>
        <v>0</v>
      </c>
      <c r="R27" s="1987">
        <f t="shared" si="8"/>
        <v>0</v>
      </c>
      <c r="S27" s="1988">
        <f t="shared" si="8"/>
        <v>0</v>
      </c>
      <c r="T27" s="590"/>
      <c r="U27" s="590"/>
      <c r="V27" s="590"/>
      <c r="W27" s="590"/>
      <c r="X27" s="590"/>
      <c r="Y27" s="590"/>
      <c r="Z27" s="590"/>
      <c r="AA27" s="590"/>
      <c r="AB27" s="590"/>
      <c r="AC27" s="590"/>
      <c r="AE27" s="786"/>
    </row>
    <row r="28" spans="2:34" ht="14.25" thickBot="1" x14ac:dyDescent="0.35">
      <c r="C28" s="666"/>
      <c r="D28" s="679"/>
      <c r="E28" s="673"/>
      <c r="F28" s="673"/>
      <c r="G28" s="673"/>
      <c r="H28" s="673"/>
      <c r="I28" s="673"/>
      <c r="J28" s="673"/>
      <c r="K28" s="673"/>
      <c r="L28" s="673"/>
      <c r="M28" s="673"/>
      <c r="N28" s="673"/>
      <c r="O28" s="673"/>
      <c r="P28" s="673"/>
      <c r="Q28" s="673"/>
      <c r="R28" s="673"/>
      <c r="S28" s="673"/>
      <c r="T28" s="590"/>
      <c r="U28" s="590"/>
      <c r="V28" s="590"/>
      <c r="W28" s="590"/>
      <c r="X28" s="590"/>
      <c r="Y28" s="590"/>
      <c r="Z28" s="590"/>
      <c r="AA28" s="590"/>
      <c r="AB28" s="590"/>
      <c r="AC28" s="590"/>
      <c r="AE28" s="783"/>
    </row>
    <row r="29" spans="2:34" ht="14.25" x14ac:dyDescent="0.3">
      <c r="B29" s="845" t="s">
        <v>140</v>
      </c>
      <c r="C29" s="846" t="str">
        <f>C21</f>
        <v>Úspory z cestovních dob indukované dopravy (CZK)</v>
      </c>
      <c r="D29" s="847"/>
      <c r="E29" s="2375">
        <f>S21+1</f>
        <v>2036</v>
      </c>
      <c r="F29" s="2369">
        <f t="shared" ref="F29:S29" si="9">E29+1</f>
        <v>2037</v>
      </c>
      <c r="G29" s="2369">
        <f t="shared" si="9"/>
        <v>2038</v>
      </c>
      <c r="H29" s="2369">
        <f t="shared" si="9"/>
        <v>2039</v>
      </c>
      <c r="I29" s="2369">
        <f t="shared" si="9"/>
        <v>2040</v>
      </c>
      <c r="J29" s="2369">
        <f t="shared" si="9"/>
        <v>2041</v>
      </c>
      <c r="K29" s="2369">
        <f t="shared" si="9"/>
        <v>2042</v>
      </c>
      <c r="L29" s="2369">
        <f t="shared" si="9"/>
        <v>2043</v>
      </c>
      <c r="M29" s="2369">
        <f t="shared" si="9"/>
        <v>2044</v>
      </c>
      <c r="N29" s="2369">
        <f t="shared" si="9"/>
        <v>2045</v>
      </c>
      <c r="O29" s="2369">
        <f t="shared" si="9"/>
        <v>2046</v>
      </c>
      <c r="P29" s="2369">
        <f t="shared" si="9"/>
        <v>2047</v>
      </c>
      <c r="Q29" s="2369">
        <f t="shared" si="9"/>
        <v>2048</v>
      </c>
      <c r="R29" s="2369">
        <f t="shared" si="9"/>
        <v>2049</v>
      </c>
      <c r="S29" s="2371">
        <f t="shared" si="9"/>
        <v>2050</v>
      </c>
      <c r="T29" s="669"/>
      <c r="U29" s="669"/>
      <c r="V29" s="669"/>
      <c r="W29" s="669"/>
      <c r="X29" s="669"/>
      <c r="Y29" s="669"/>
      <c r="Z29" s="669"/>
      <c r="AA29" s="669"/>
      <c r="AB29" s="669"/>
      <c r="AC29" s="669"/>
      <c r="AE29" s="783"/>
    </row>
    <row r="30" spans="2:34" s="666" customFormat="1" ht="15" thickBot="1" x14ac:dyDescent="0.35">
      <c r="B30" s="848" t="s">
        <v>24</v>
      </c>
      <c r="C30" s="849"/>
      <c r="D30" s="851"/>
      <c r="E30" s="2376"/>
      <c r="F30" s="2370"/>
      <c r="G30" s="2370"/>
      <c r="H30" s="2370"/>
      <c r="I30" s="2370"/>
      <c r="J30" s="2370"/>
      <c r="K30" s="2370"/>
      <c r="L30" s="2370"/>
      <c r="M30" s="2370"/>
      <c r="N30" s="2370"/>
      <c r="O30" s="2370"/>
      <c r="P30" s="2370"/>
      <c r="Q30" s="2370"/>
      <c r="R30" s="2370"/>
      <c r="S30" s="2372"/>
      <c r="T30" s="669"/>
      <c r="U30" s="669"/>
      <c r="V30" s="669"/>
      <c r="W30" s="669"/>
      <c r="X30" s="669"/>
      <c r="Y30" s="669"/>
      <c r="Z30" s="669"/>
      <c r="AA30" s="669"/>
      <c r="AB30" s="669"/>
      <c r="AC30" s="669"/>
      <c r="AE30" s="787"/>
    </row>
    <row r="31" spans="2:34" s="666" customFormat="1" ht="14.25" x14ac:dyDescent="0.3">
      <c r="B31" s="861"/>
      <c r="C31" s="607" t="str">
        <f>C23</f>
        <v>Osobní - příměstská</v>
      </c>
      <c r="D31" s="912"/>
      <c r="E31" s="693"/>
      <c r="F31" s="693"/>
      <c r="G31" s="693"/>
      <c r="H31" s="693"/>
      <c r="I31" s="693"/>
      <c r="J31" s="693"/>
      <c r="K31" s="693"/>
      <c r="L31" s="693"/>
      <c r="M31" s="693"/>
      <c r="N31" s="693"/>
      <c r="O31" s="693"/>
      <c r="P31" s="693"/>
      <c r="Q31" s="693"/>
      <c r="R31" s="693"/>
      <c r="S31" s="693"/>
      <c r="T31" s="1981"/>
      <c r="U31" s="590"/>
      <c r="V31" s="590"/>
      <c r="W31" s="590"/>
      <c r="X31" s="590"/>
      <c r="Y31" s="590"/>
      <c r="Z31" s="590"/>
      <c r="AA31" s="590"/>
      <c r="AB31" s="590"/>
      <c r="AC31" s="590"/>
      <c r="AD31" s="667"/>
      <c r="AE31" s="783"/>
      <c r="AF31" s="667"/>
      <c r="AG31" s="667"/>
      <c r="AH31" s="667"/>
    </row>
    <row r="32" spans="2:34" ht="14.25" x14ac:dyDescent="0.3">
      <c r="B32" s="862"/>
      <c r="C32" s="607" t="str">
        <f>C24</f>
        <v>Osobní - dálková</v>
      </c>
      <c r="D32" s="625"/>
      <c r="E32" s="693"/>
      <c r="F32" s="693"/>
      <c r="G32" s="693"/>
      <c r="H32" s="693"/>
      <c r="I32" s="693"/>
      <c r="J32" s="693"/>
      <c r="K32" s="693"/>
      <c r="L32" s="693"/>
      <c r="M32" s="693"/>
      <c r="N32" s="693"/>
      <c r="O32" s="693"/>
      <c r="P32" s="693"/>
      <c r="Q32" s="693"/>
      <c r="R32" s="693"/>
      <c r="S32" s="693"/>
      <c r="T32" s="1981"/>
      <c r="U32" s="590"/>
      <c r="V32" s="590"/>
      <c r="W32" s="590"/>
      <c r="X32" s="590"/>
      <c r="Y32" s="590"/>
      <c r="Z32" s="590"/>
      <c r="AA32" s="590"/>
      <c r="AB32" s="590"/>
      <c r="AC32" s="590"/>
      <c r="AE32" s="783"/>
    </row>
    <row r="33" spans="2:34" ht="14.25" x14ac:dyDescent="0.3">
      <c r="B33" s="862"/>
      <c r="C33" s="607" t="str">
        <f>C25</f>
        <v>Nákladní - místní</v>
      </c>
      <c r="D33" s="625"/>
      <c r="E33" s="693"/>
      <c r="F33" s="693"/>
      <c r="G33" s="693"/>
      <c r="H33" s="693"/>
      <c r="I33" s="693"/>
      <c r="J33" s="693"/>
      <c r="K33" s="693"/>
      <c r="L33" s="693"/>
      <c r="M33" s="693"/>
      <c r="N33" s="693"/>
      <c r="O33" s="693"/>
      <c r="P33" s="693"/>
      <c r="Q33" s="693"/>
      <c r="R33" s="693"/>
      <c r="S33" s="693"/>
      <c r="T33" s="1981"/>
      <c r="U33" s="590"/>
      <c r="V33" s="590"/>
      <c r="W33" s="590"/>
      <c r="X33" s="590"/>
      <c r="Y33" s="590"/>
      <c r="Z33" s="590"/>
      <c r="AA33" s="590"/>
      <c r="AB33" s="590"/>
      <c r="AC33" s="590"/>
      <c r="AE33" s="783"/>
    </row>
    <row r="34" spans="2:34" ht="14.25" x14ac:dyDescent="0.3">
      <c r="B34" s="863"/>
      <c r="C34" s="864" t="str">
        <f>C26</f>
        <v>Nákladní - dálková</v>
      </c>
      <c r="D34" s="1240"/>
      <c r="E34" s="1980"/>
      <c r="F34" s="1980"/>
      <c r="G34" s="1980"/>
      <c r="H34" s="1980"/>
      <c r="I34" s="1980"/>
      <c r="J34" s="1980"/>
      <c r="K34" s="1980"/>
      <c r="L34" s="1980"/>
      <c r="M34" s="1980"/>
      <c r="N34" s="1980"/>
      <c r="O34" s="1980"/>
      <c r="P34" s="1980"/>
      <c r="Q34" s="1980"/>
      <c r="R34" s="1980"/>
      <c r="S34" s="1980"/>
      <c r="T34" s="1982"/>
      <c r="U34" s="785"/>
      <c r="V34" s="785"/>
      <c r="W34" s="785"/>
      <c r="X34" s="785"/>
      <c r="Y34" s="785"/>
      <c r="Z34" s="785"/>
      <c r="AA34" s="785"/>
      <c r="AB34" s="785"/>
      <c r="AC34" s="785"/>
      <c r="AE34" s="783"/>
    </row>
    <row r="35" spans="2:34" ht="15" thickBot="1" x14ac:dyDescent="0.35">
      <c r="B35" s="855"/>
      <c r="C35" s="856" t="str">
        <f>C27</f>
        <v>Celkové úspory z cestovních dob indukované dopravy</v>
      </c>
      <c r="D35" s="858"/>
      <c r="E35" s="1986">
        <f t="shared" ref="E35:S35" si="10">SUM(E31:E34)</f>
        <v>0</v>
      </c>
      <c r="F35" s="1987">
        <f t="shared" si="10"/>
        <v>0</v>
      </c>
      <c r="G35" s="1987">
        <f t="shared" si="10"/>
        <v>0</v>
      </c>
      <c r="H35" s="1987">
        <f t="shared" si="10"/>
        <v>0</v>
      </c>
      <c r="I35" s="1987">
        <f t="shared" si="10"/>
        <v>0</v>
      </c>
      <c r="J35" s="1987">
        <f t="shared" si="10"/>
        <v>0</v>
      </c>
      <c r="K35" s="1987">
        <f t="shared" si="10"/>
        <v>0</v>
      </c>
      <c r="L35" s="1987">
        <f t="shared" si="10"/>
        <v>0</v>
      </c>
      <c r="M35" s="1987">
        <f t="shared" si="10"/>
        <v>0</v>
      </c>
      <c r="N35" s="1987">
        <f t="shared" si="10"/>
        <v>0</v>
      </c>
      <c r="O35" s="1987">
        <f t="shared" si="10"/>
        <v>0</v>
      </c>
      <c r="P35" s="1987">
        <f t="shared" si="10"/>
        <v>0</v>
      </c>
      <c r="Q35" s="1987">
        <f t="shared" si="10"/>
        <v>0</v>
      </c>
      <c r="R35" s="1987">
        <f t="shared" si="10"/>
        <v>0</v>
      </c>
      <c r="S35" s="1988">
        <f t="shared" si="10"/>
        <v>0</v>
      </c>
      <c r="T35" s="590"/>
      <c r="U35" s="590"/>
      <c r="V35" s="590"/>
      <c r="W35" s="590"/>
      <c r="X35" s="590"/>
      <c r="Y35" s="590"/>
      <c r="Z35" s="590"/>
      <c r="AA35" s="590"/>
      <c r="AB35" s="590"/>
      <c r="AC35" s="590"/>
      <c r="AE35" s="783"/>
    </row>
    <row r="36" spans="2:34" x14ac:dyDescent="0.3">
      <c r="B36" s="789"/>
      <c r="C36" s="790"/>
      <c r="D36" s="590"/>
      <c r="E36" s="590"/>
      <c r="F36" s="590"/>
      <c r="G36" s="590"/>
      <c r="H36" s="590"/>
      <c r="I36" s="590"/>
      <c r="J36" s="590"/>
      <c r="K36" s="590"/>
      <c r="L36" s="590"/>
      <c r="M36" s="590"/>
      <c r="N36" s="590"/>
      <c r="O36" s="590"/>
      <c r="P36" s="590"/>
      <c r="Q36" s="590"/>
      <c r="R36" s="590"/>
      <c r="S36" s="590"/>
      <c r="T36" s="590"/>
      <c r="U36" s="590"/>
      <c r="V36" s="590"/>
      <c r="W36" s="590"/>
      <c r="X36" s="590"/>
      <c r="Y36" s="590"/>
      <c r="Z36" s="590"/>
      <c r="AA36" s="590"/>
      <c r="AB36" s="590"/>
      <c r="AC36" s="590"/>
      <c r="AE36" s="783"/>
    </row>
    <row r="37" spans="2:34" ht="14.25" thickBot="1" x14ac:dyDescent="0.35">
      <c r="C37" s="666"/>
      <c r="D37" s="590"/>
      <c r="E37" s="590"/>
      <c r="F37" s="590"/>
      <c r="G37" s="590"/>
      <c r="H37" s="590"/>
      <c r="I37" s="590"/>
      <c r="J37" s="590"/>
      <c r="K37" s="590"/>
      <c r="L37" s="590"/>
      <c r="M37" s="590"/>
      <c r="N37" s="590"/>
      <c r="O37" s="590"/>
      <c r="P37" s="590"/>
      <c r="Q37" s="590"/>
      <c r="R37" s="590"/>
      <c r="S37" s="590"/>
      <c r="T37" s="590"/>
      <c r="U37" s="590"/>
      <c r="V37" s="590"/>
      <c r="W37" s="590"/>
      <c r="X37" s="590"/>
      <c r="Y37" s="590"/>
      <c r="Z37" s="590"/>
      <c r="AA37" s="590"/>
      <c r="AB37" s="590"/>
      <c r="AC37" s="590"/>
      <c r="AD37" s="666"/>
      <c r="AE37" s="787"/>
      <c r="AF37" s="666"/>
      <c r="AG37" s="666"/>
      <c r="AH37" s="666"/>
    </row>
    <row r="38" spans="2:34" ht="14.25" x14ac:dyDescent="0.3">
      <c r="B38" s="630" t="s">
        <v>141</v>
      </c>
      <c r="C38" s="873" t="str">
        <f>IF('0 Úvod'!$M$10="English",Slovnik!$D$201,Slovnik!$C$201)</f>
        <v>Úspory z cestovních dob převedené dopravy (CZK)</v>
      </c>
      <c r="D38" s="874"/>
      <c r="E38" s="2379">
        <f>E21</f>
        <v>2021</v>
      </c>
      <c r="F38" s="2373">
        <f t="shared" ref="F38:S38" si="11">E38+1</f>
        <v>2022</v>
      </c>
      <c r="G38" s="2373">
        <f t="shared" si="11"/>
        <v>2023</v>
      </c>
      <c r="H38" s="2373">
        <f t="shared" si="11"/>
        <v>2024</v>
      </c>
      <c r="I38" s="2373">
        <f t="shared" si="11"/>
        <v>2025</v>
      </c>
      <c r="J38" s="2373">
        <f t="shared" si="11"/>
        <v>2026</v>
      </c>
      <c r="K38" s="2373">
        <f t="shared" si="11"/>
        <v>2027</v>
      </c>
      <c r="L38" s="2373">
        <f t="shared" si="11"/>
        <v>2028</v>
      </c>
      <c r="M38" s="2373">
        <f t="shared" si="11"/>
        <v>2029</v>
      </c>
      <c r="N38" s="2373">
        <f t="shared" si="11"/>
        <v>2030</v>
      </c>
      <c r="O38" s="2373">
        <f t="shared" si="11"/>
        <v>2031</v>
      </c>
      <c r="P38" s="2373">
        <f t="shared" si="11"/>
        <v>2032</v>
      </c>
      <c r="Q38" s="2373">
        <f t="shared" si="11"/>
        <v>2033</v>
      </c>
      <c r="R38" s="2373">
        <f t="shared" si="11"/>
        <v>2034</v>
      </c>
      <c r="S38" s="2367">
        <f t="shared" si="11"/>
        <v>2035</v>
      </c>
      <c r="T38" s="669"/>
      <c r="U38" s="669"/>
      <c r="V38" s="669"/>
      <c r="W38" s="669"/>
      <c r="X38" s="669"/>
      <c r="Y38" s="669"/>
      <c r="Z38" s="669"/>
      <c r="AA38" s="669"/>
      <c r="AB38" s="669"/>
      <c r="AC38" s="669"/>
      <c r="AD38" s="666"/>
      <c r="AE38" s="787"/>
      <c r="AF38" s="666"/>
      <c r="AG38" s="666"/>
      <c r="AH38" s="666"/>
    </row>
    <row r="39" spans="2:34" ht="15" thickBot="1" x14ac:dyDescent="0.35">
      <c r="B39" s="875" t="s">
        <v>23</v>
      </c>
      <c r="C39" s="876"/>
      <c r="D39" s="635" t="str">
        <f>D22</f>
        <v>Celkem</v>
      </c>
      <c r="E39" s="2380"/>
      <c r="F39" s="2374"/>
      <c r="G39" s="2374"/>
      <c r="H39" s="2374"/>
      <c r="I39" s="2374"/>
      <c r="J39" s="2374"/>
      <c r="K39" s="2374"/>
      <c r="L39" s="2374"/>
      <c r="M39" s="2374"/>
      <c r="N39" s="2374"/>
      <c r="O39" s="2374"/>
      <c r="P39" s="2374"/>
      <c r="Q39" s="2374"/>
      <c r="R39" s="2374"/>
      <c r="S39" s="2368"/>
      <c r="T39" s="669"/>
      <c r="U39" s="669"/>
      <c r="V39" s="669"/>
      <c r="W39" s="669"/>
      <c r="X39" s="669"/>
      <c r="Y39" s="669"/>
      <c r="Z39" s="669"/>
      <c r="AA39" s="669"/>
      <c r="AB39" s="669"/>
      <c r="AC39" s="669"/>
      <c r="AD39" s="666"/>
      <c r="AE39" s="787"/>
      <c r="AF39" s="666"/>
      <c r="AG39" s="666"/>
      <c r="AH39" s="666"/>
    </row>
    <row r="40" spans="2:34" ht="14.25" x14ac:dyDescent="0.3">
      <c r="B40" s="861"/>
      <c r="C40" s="607" t="str">
        <f>C106</f>
        <v>BUS</v>
      </c>
      <c r="D40" s="605">
        <f>SUM(E40:S40,E48:S48)</f>
        <v>0</v>
      </c>
      <c r="E40" s="693"/>
      <c r="F40" s="693"/>
      <c r="G40" s="693"/>
      <c r="H40" s="693"/>
      <c r="I40" s="693"/>
      <c r="J40" s="693"/>
      <c r="K40" s="693"/>
      <c r="L40" s="693"/>
      <c r="M40" s="693"/>
      <c r="N40" s="693"/>
      <c r="O40" s="693"/>
      <c r="P40" s="693"/>
      <c r="Q40" s="693"/>
      <c r="R40" s="693"/>
      <c r="S40" s="693"/>
      <c r="T40" s="1981"/>
      <c r="U40" s="590"/>
      <c r="V40" s="590"/>
      <c r="W40" s="590"/>
      <c r="X40" s="590"/>
      <c r="Y40" s="590"/>
      <c r="Z40" s="590"/>
      <c r="AA40" s="590"/>
      <c r="AB40" s="590"/>
      <c r="AC40" s="590"/>
      <c r="AD40" s="666"/>
      <c r="AE40" s="787"/>
      <c r="AF40" s="666"/>
      <c r="AG40" s="666"/>
      <c r="AH40" s="666"/>
    </row>
    <row r="41" spans="2:34" ht="14.25" x14ac:dyDescent="0.3">
      <c r="B41" s="862"/>
      <c r="C41" s="607" t="str">
        <f>C107</f>
        <v>IAD</v>
      </c>
      <c r="D41" s="608">
        <f>SUM(E41:S41,E49:S49)</f>
        <v>0</v>
      </c>
      <c r="E41" s="693"/>
      <c r="F41" s="693"/>
      <c r="G41" s="693"/>
      <c r="H41" s="693"/>
      <c r="I41" s="693"/>
      <c r="J41" s="693"/>
      <c r="K41" s="693"/>
      <c r="L41" s="693"/>
      <c r="M41" s="693"/>
      <c r="N41" s="693"/>
      <c r="O41" s="693"/>
      <c r="P41" s="693"/>
      <c r="Q41" s="693"/>
      <c r="R41" s="693"/>
      <c r="S41" s="693"/>
      <c r="T41" s="1981"/>
      <c r="U41" s="590"/>
      <c r="V41" s="590"/>
      <c r="W41" s="590"/>
      <c r="X41" s="590"/>
      <c r="Y41" s="590"/>
      <c r="Z41" s="590"/>
      <c r="AA41" s="590"/>
      <c r="AB41" s="590"/>
      <c r="AC41" s="590"/>
      <c r="AD41" s="666"/>
      <c r="AE41" s="787"/>
      <c r="AF41" s="666"/>
      <c r="AG41" s="666"/>
      <c r="AH41" s="666"/>
    </row>
    <row r="42" spans="2:34" ht="14.25" x14ac:dyDescent="0.3">
      <c r="B42" s="862"/>
      <c r="C42" s="607" t="str">
        <f>C127</f>
        <v>LNV</v>
      </c>
      <c r="D42" s="608">
        <f>SUM(E42:S42,E50:S50)</f>
        <v>0</v>
      </c>
      <c r="E42" s="693"/>
      <c r="F42" s="693"/>
      <c r="G42" s="693"/>
      <c r="H42" s="693"/>
      <c r="I42" s="693"/>
      <c r="J42" s="693"/>
      <c r="K42" s="693"/>
      <c r="L42" s="693"/>
      <c r="M42" s="693"/>
      <c r="N42" s="693"/>
      <c r="O42" s="693"/>
      <c r="P42" s="693"/>
      <c r="Q42" s="693"/>
      <c r="R42" s="693"/>
      <c r="S42" s="693"/>
      <c r="T42" s="1981"/>
      <c r="U42" s="590"/>
      <c r="V42" s="590"/>
      <c r="W42" s="590"/>
      <c r="X42" s="590"/>
      <c r="Y42" s="590"/>
      <c r="Z42" s="590"/>
      <c r="AA42" s="590"/>
      <c r="AB42" s="590"/>
      <c r="AC42" s="590"/>
      <c r="AD42" s="666"/>
      <c r="AE42" s="787"/>
      <c r="AF42" s="666"/>
      <c r="AG42" s="666"/>
      <c r="AH42" s="666"/>
    </row>
    <row r="43" spans="2:34" ht="14.25" x14ac:dyDescent="0.3">
      <c r="B43" s="863"/>
      <c r="C43" s="864" t="str">
        <f>C128</f>
        <v>TNV</v>
      </c>
      <c r="D43" s="1238">
        <f>SUM(E43:S43,E51:S51)</f>
        <v>0</v>
      </c>
      <c r="E43" s="1980"/>
      <c r="F43" s="1980"/>
      <c r="G43" s="1980"/>
      <c r="H43" s="1980"/>
      <c r="I43" s="1980"/>
      <c r="J43" s="1980"/>
      <c r="K43" s="1980"/>
      <c r="L43" s="1980"/>
      <c r="M43" s="1980"/>
      <c r="N43" s="1980"/>
      <c r="O43" s="1980"/>
      <c r="P43" s="1980"/>
      <c r="Q43" s="1980"/>
      <c r="R43" s="1980"/>
      <c r="S43" s="1980"/>
      <c r="T43" s="1982"/>
      <c r="U43" s="785"/>
      <c r="V43" s="785"/>
      <c r="W43" s="785"/>
      <c r="X43" s="785"/>
      <c r="Y43" s="785"/>
      <c r="Z43" s="785"/>
      <c r="AA43" s="785"/>
      <c r="AB43" s="785"/>
      <c r="AC43" s="785"/>
      <c r="AD43" s="666"/>
      <c r="AE43" s="787"/>
      <c r="AF43" s="666"/>
      <c r="AG43" s="666"/>
      <c r="AH43" s="666"/>
    </row>
    <row r="44" spans="2:34" ht="15" thickBot="1" x14ac:dyDescent="0.35">
      <c r="B44" s="852"/>
      <c r="C44" s="853" t="str">
        <f>IF('0 Úvod'!$M$10="English",Slovnik!D206,Slovnik!C206)</f>
        <v>Celkové úspory z cestovních dob převedené dopravy</v>
      </c>
      <c r="D44" s="854">
        <f>SUM(E44:S44,E52:S52)</f>
        <v>0</v>
      </c>
      <c r="E44" s="1989">
        <f t="shared" ref="E44:S44" si="12">SUM(E40:E43)</f>
        <v>0</v>
      </c>
      <c r="F44" s="1990">
        <f t="shared" si="12"/>
        <v>0</v>
      </c>
      <c r="G44" s="1990">
        <f t="shared" si="12"/>
        <v>0</v>
      </c>
      <c r="H44" s="1990">
        <f t="shared" si="12"/>
        <v>0</v>
      </c>
      <c r="I44" s="1990">
        <f t="shared" si="12"/>
        <v>0</v>
      </c>
      <c r="J44" s="1990">
        <f t="shared" si="12"/>
        <v>0</v>
      </c>
      <c r="K44" s="1990">
        <f t="shared" si="12"/>
        <v>0</v>
      </c>
      <c r="L44" s="1990">
        <f t="shared" si="12"/>
        <v>0</v>
      </c>
      <c r="M44" s="1990">
        <f t="shared" si="12"/>
        <v>0</v>
      </c>
      <c r="N44" s="1990">
        <f t="shared" si="12"/>
        <v>0</v>
      </c>
      <c r="O44" s="1990">
        <f t="shared" si="12"/>
        <v>0</v>
      </c>
      <c r="P44" s="1990">
        <f t="shared" si="12"/>
        <v>0</v>
      </c>
      <c r="Q44" s="1990">
        <f t="shared" si="12"/>
        <v>0</v>
      </c>
      <c r="R44" s="1990">
        <f t="shared" si="12"/>
        <v>0</v>
      </c>
      <c r="S44" s="1991">
        <f t="shared" si="12"/>
        <v>0</v>
      </c>
      <c r="T44" s="590"/>
      <c r="U44" s="590"/>
      <c r="V44" s="590"/>
      <c r="W44" s="590"/>
      <c r="X44" s="590"/>
      <c r="Y44" s="590"/>
      <c r="Z44" s="590"/>
      <c r="AA44" s="590"/>
      <c r="AB44" s="590"/>
      <c r="AC44" s="590"/>
      <c r="AD44" s="666"/>
      <c r="AE44" s="787"/>
      <c r="AF44" s="666"/>
      <c r="AG44" s="666"/>
      <c r="AH44" s="666"/>
    </row>
    <row r="45" spans="2:34" ht="14.25" thickBot="1" x14ac:dyDescent="0.35">
      <c r="C45" s="666"/>
      <c r="D45" s="679"/>
      <c r="E45" s="673"/>
      <c r="F45" s="673"/>
      <c r="G45" s="673"/>
      <c r="H45" s="673"/>
      <c r="I45" s="673"/>
      <c r="J45" s="673"/>
      <c r="K45" s="673"/>
      <c r="L45" s="673"/>
      <c r="M45" s="673"/>
      <c r="N45" s="673"/>
      <c r="O45" s="673"/>
      <c r="P45" s="673"/>
      <c r="Q45" s="673"/>
      <c r="R45" s="673"/>
      <c r="S45" s="673"/>
      <c r="T45" s="590"/>
      <c r="U45" s="590"/>
      <c r="V45" s="590"/>
      <c r="W45" s="590"/>
      <c r="X45" s="590"/>
      <c r="Y45" s="590"/>
      <c r="Z45" s="590"/>
      <c r="AA45" s="590"/>
      <c r="AB45" s="590"/>
      <c r="AC45" s="590"/>
      <c r="AD45" s="666"/>
      <c r="AE45" s="787"/>
      <c r="AF45" s="666"/>
      <c r="AG45" s="666"/>
      <c r="AH45" s="666"/>
    </row>
    <row r="46" spans="2:34" ht="14.25" x14ac:dyDescent="0.3">
      <c r="B46" s="630" t="s">
        <v>141</v>
      </c>
      <c r="C46" s="873" t="str">
        <f>C38</f>
        <v>Úspory z cestovních dob převedené dopravy (CZK)</v>
      </c>
      <c r="D46" s="874"/>
      <c r="E46" s="2379">
        <f>S38+1</f>
        <v>2036</v>
      </c>
      <c r="F46" s="2373">
        <f t="shared" ref="F46:S46" si="13">E46+1</f>
        <v>2037</v>
      </c>
      <c r="G46" s="2373">
        <f t="shared" si="13"/>
        <v>2038</v>
      </c>
      <c r="H46" s="2373">
        <f t="shared" si="13"/>
        <v>2039</v>
      </c>
      <c r="I46" s="2373">
        <f t="shared" si="13"/>
        <v>2040</v>
      </c>
      <c r="J46" s="2373">
        <f t="shared" si="13"/>
        <v>2041</v>
      </c>
      <c r="K46" s="2373">
        <f t="shared" si="13"/>
        <v>2042</v>
      </c>
      <c r="L46" s="2373">
        <f t="shared" si="13"/>
        <v>2043</v>
      </c>
      <c r="M46" s="2373">
        <f t="shared" si="13"/>
        <v>2044</v>
      </c>
      <c r="N46" s="2373">
        <f t="shared" si="13"/>
        <v>2045</v>
      </c>
      <c r="O46" s="2373">
        <f t="shared" si="13"/>
        <v>2046</v>
      </c>
      <c r="P46" s="2373">
        <f t="shared" si="13"/>
        <v>2047</v>
      </c>
      <c r="Q46" s="2373">
        <f t="shared" si="13"/>
        <v>2048</v>
      </c>
      <c r="R46" s="2373">
        <f t="shared" si="13"/>
        <v>2049</v>
      </c>
      <c r="S46" s="2367">
        <f t="shared" si="13"/>
        <v>2050</v>
      </c>
      <c r="T46" s="669"/>
      <c r="U46" s="669"/>
      <c r="V46" s="669"/>
      <c r="W46" s="669"/>
      <c r="X46" s="669"/>
      <c r="Y46" s="669"/>
      <c r="Z46" s="669"/>
      <c r="AA46" s="669"/>
      <c r="AB46" s="669"/>
      <c r="AC46" s="669"/>
      <c r="AD46" s="666"/>
      <c r="AE46" s="787"/>
      <c r="AF46" s="666"/>
      <c r="AG46" s="666"/>
      <c r="AH46" s="666"/>
    </row>
    <row r="47" spans="2:34" ht="15" thickBot="1" x14ac:dyDescent="0.35">
      <c r="B47" s="875" t="s">
        <v>24</v>
      </c>
      <c r="C47" s="876"/>
      <c r="D47" s="877"/>
      <c r="E47" s="2380"/>
      <c r="F47" s="2374"/>
      <c r="G47" s="2374"/>
      <c r="H47" s="2374"/>
      <c r="I47" s="2374"/>
      <c r="J47" s="2374"/>
      <c r="K47" s="2374"/>
      <c r="L47" s="2374"/>
      <c r="M47" s="2374"/>
      <c r="N47" s="2374"/>
      <c r="O47" s="2374"/>
      <c r="P47" s="2374"/>
      <c r="Q47" s="2374"/>
      <c r="R47" s="2374"/>
      <c r="S47" s="2368"/>
      <c r="T47" s="669"/>
      <c r="U47" s="669"/>
      <c r="V47" s="669"/>
      <c r="W47" s="669"/>
      <c r="X47" s="669"/>
      <c r="Y47" s="669"/>
      <c r="Z47" s="669"/>
      <c r="AA47" s="669"/>
      <c r="AB47" s="669"/>
      <c r="AC47" s="669"/>
      <c r="AD47" s="666"/>
      <c r="AE47" s="787"/>
      <c r="AF47" s="666"/>
      <c r="AG47" s="666"/>
      <c r="AH47" s="666"/>
    </row>
    <row r="48" spans="2:34" ht="14.25" x14ac:dyDescent="0.3">
      <c r="B48" s="861"/>
      <c r="C48" s="607" t="str">
        <f>C40</f>
        <v>BUS</v>
      </c>
      <c r="D48" s="912"/>
      <c r="E48" s="693"/>
      <c r="F48" s="693"/>
      <c r="G48" s="693"/>
      <c r="H48" s="693"/>
      <c r="I48" s="693"/>
      <c r="J48" s="693"/>
      <c r="K48" s="693"/>
      <c r="L48" s="693"/>
      <c r="M48" s="693"/>
      <c r="N48" s="693"/>
      <c r="O48" s="693"/>
      <c r="P48" s="693"/>
      <c r="Q48" s="693"/>
      <c r="R48" s="693"/>
      <c r="S48" s="693"/>
      <c r="T48" s="1981"/>
      <c r="U48" s="590"/>
      <c r="V48" s="590"/>
      <c r="W48" s="590"/>
      <c r="X48" s="590"/>
      <c r="Y48" s="590"/>
      <c r="Z48" s="590"/>
      <c r="AA48" s="590"/>
      <c r="AB48" s="590"/>
      <c r="AC48" s="590"/>
      <c r="AD48" s="666"/>
      <c r="AE48" s="787"/>
      <c r="AF48" s="666"/>
      <c r="AG48" s="666"/>
      <c r="AH48" s="666"/>
    </row>
    <row r="49" spans="2:34" ht="14.25" x14ac:dyDescent="0.3">
      <c r="B49" s="862"/>
      <c r="C49" s="607" t="str">
        <f>C41</f>
        <v>IAD</v>
      </c>
      <c r="D49" s="625"/>
      <c r="E49" s="693"/>
      <c r="F49" s="693"/>
      <c r="G49" s="693"/>
      <c r="H49" s="693"/>
      <c r="I49" s="693"/>
      <c r="J49" s="693"/>
      <c r="K49" s="693"/>
      <c r="L49" s="693"/>
      <c r="M49" s="693"/>
      <c r="N49" s="693"/>
      <c r="O49" s="693"/>
      <c r="P49" s="693"/>
      <c r="Q49" s="693"/>
      <c r="R49" s="693"/>
      <c r="S49" s="693"/>
      <c r="T49" s="1981"/>
      <c r="U49" s="590"/>
      <c r="V49" s="590"/>
      <c r="W49" s="590"/>
      <c r="X49" s="590"/>
      <c r="Y49" s="590"/>
      <c r="Z49" s="590"/>
      <c r="AA49" s="590"/>
      <c r="AB49" s="590"/>
      <c r="AC49" s="590"/>
      <c r="AD49" s="666"/>
      <c r="AE49" s="787"/>
      <c r="AF49" s="666"/>
      <c r="AG49" s="666"/>
      <c r="AH49" s="666"/>
    </row>
    <row r="50" spans="2:34" ht="14.25" x14ac:dyDescent="0.3">
      <c r="B50" s="862"/>
      <c r="C50" s="607" t="str">
        <f>C42</f>
        <v>LNV</v>
      </c>
      <c r="D50" s="625"/>
      <c r="E50" s="693"/>
      <c r="F50" s="693"/>
      <c r="G50" s="693"/>
      <c r="H50" s="693"/>
      <c r="I50" s="693"/>
      <c r="J50" s="693"/>
      <c r="K50" s="693"/>
      <c r="L50" s="693"/>
      <c r="M50" s="693"/>
      <c r="N50" s="693"/>
      <c r="O50" s="693"/>
      <c r="P50" s="693"/>
      <c r="Q50" s="693"/>
      <c r="R50" s="693"/>
      <c r="S50" s="693"/>
      <c r="T50" s="1981"/>
      <c r="U50" s="590"/>
      <c r="V50" s="590"/>
      <c r="W50" s="590"/>
      <c r="X50" s="590"/>
      <c r="Y50" s="590"/>
      <c r="Z50" s="590"/>
      <c r="AA50" s="590"/>
      <c r="AB50" s="590"/>
      <c r="AC50" s="590"/>
      <c r="AD50" s="666"/>
      <c r="AE50" s="787"/>
      <c r="AF50" s="666"/>
      <c r="AG50" s="666"/>
      <c r="AH50" s="666"/>
    </row>
    <row r="51" spans="2:34" ht="14.25" x14ac:dyDescent="0.3">
      <c r="B51" s="863"/>
      <c r="C51" s="864" t="str">
        <f>C43</f>
        <v>TNV</v>
      </c>
      <c r="D51" s="1240"/>
      <c r="E51" s="1980"/>
      <c r="F51" s="1980"/>
      <c r="G51" s="1980"/>
      <c r="H51" s="1980"/>
      <c r="I51" s="1980"/>
      <c r="J51" s="1980"/>
      <c r="K51" s="1980"/>
      <c r="L51" s="1980"/>
      <c r="M51" s="1980"/>
      <c r="N51" s="1980"/>
      <c r="O51" s="1980"/>
      <c r="P51" s="1980"/>
      <c r="Q51" s="1980"/>
      <c r="R51" s="1980"/>
      <c r="S51" s="1980"/>
      <c r="T51" s="1982"/>
      <c r="U51" s="785"/>
      <c r="V51" s="785"/>
      <c r="W51" s="785"/>
      <c r="X51" s="785"/>
      <c r="Y51" s="785"/>
      <c r="Z51" s="785"/>
      <c r="AA51" s="785"/>
      <c r="AB51" s="785"/>
      <c r="AC51" s="785"/>
      <c r="AD51" s="666"/>
      <c r="AE51" s="787"/>
      <c r="AF51" s="666"/>
      <c r="AG51" s="666"/>
      <c r="AH51" s="666"/>
    </row>
    <row r="52" spans="2:34" ht="15" thickBot="1" x14ac:dyDescent="0.35">
      <c r="B52" s="878"/>
      <c r="C52" s="879" t="str">
        <f>C44</f>
        <v>Celkové úspory z cestovních dob převedené dopravy</v>
      </c>
      <c r="D52" s="880"/>
      <c r="E52" s="1992">
        <f t="shared" ref="E52:S52" si="14">SUM(E48:E51)</f>
        <v>0</v>
      </c>
      <c r="F52" s="1993">
        <f t="shared" si="14"/>
        <v>0</v>
      </c>
      <c r="G52" s="1993">
        <f t="shared" si="14"/>
        <v>0</v>
      </c>
      <c r="H52" s="1993">
        <f t="shared" si="14"/>
        <v>0</v>
      </c>
      <c r="I52" s="1993">
        <f t="shared" si="14"/>
        <v>0</v>
      </c>
      <c r="J52" s="1993">
        <f t="shared" si="14"/>
        <v>0</v>
      </c>
      <c r="K52" s="1993">
        <f t="shared" si="14"/>
        <v>0</v>
      </c>
      <c r="L52" s="1993">
        <f t="shared" si="14"/>
        <v>0</v>
      </c>
      <c r="M52" s="1993">
        <f t="shared" si="14"/>
        <v>0</v>
      </c>
      <c r="N52" s="1993">
        <f t="shared" si="14"/>
        <v>0</v>
      </c>
      <c r="O52" s="1993">
        <f t="shared" si="14"/>
        <v>0</v>
      </c>
      <c r="P52" s="1993">
        <f t="shared" si="14"/>
        <v>0</v>
      </c>
      <c r="Q52" s="1993">
        <f t="shared" si="14"/>
        <v>0</v>
      </c>
      <c r="R52" s="1993">
        <f t="shared" si="14"/>
        <v>0</v>
      </c>
      <c r="S52" s="1994">
        <f t="shared" si="14"/>
        <v>0</v>
      </c>
      <c r="T52" s="590"/>
      <c r="U52" s="590"/>
      <c r="V52" s="590"/>
      <c r="W52" s="590"/>
      <c r="X52" s="590"/>
      <c r="Y52" s="590"/>
      <c r="Z52" s="590"/>
      <c r="AA52" s="590"/>
      <c r="AB52" s="590"/>
      <c r="AC52" s="590"/>
      <c r="AD52" s="666"/>
      <c r="AE52" s="787"/>
      <c r="AF52" s="666"/>
      <c r="AG52" s="666"/>
      <c r="AH52" s="666"/>
    </row>
    <row r="53" spans="2:34" x14ac:dyDescent="0.3">
      <c r="C53" s="666"/>
      <c r="D53" s="590"/>
      <c r="E53" s="590"/>
      <c r="F53" s="590"/>
      <c r="G53" s="590"/>
      <c r="H53" s="590"/>
      <c r="I53" s="590"/>
      <c r="J53" s="590"/>
      <c r="K53" s="590"/>
      <c r="L53" s="590"/>
      <c r="M53" s="590"/>
      <c r="N53" s="590"/>
      <c r="O53" s="590"/>
      <c r="P53" s="590"/>
      <c r="Q53" s="590"/>
      <c r="R53" s="590"/>
      <c r="S53" s="590"/>
      <c r="T53" s="590"/>
      <c r="U53" s="590"/>
      <c r="V53" s="590"/>
      <c r="W53" s="590"/>
      <c r="X53" s="590"/>
      <c r="Y53" s="590"/>
      <c r="Z53" s="590"/>
      <c r="AA53" s="590"/>
      <c r="AB53" s="590"/>
      <c r="AC53" s="590"/>
      <c r="AD53" s="666"/>
      <c r="AE53" s="787"/>
      <c r="AF53" s="666"/>
      <c r="AG53" s="666"/>
      <c r="AH53" s="666"/>
    </row>
    <row r="54" spans="2:34" ht="14.25" thickBot="1" x14ac:dyDescent="0.35">
      <c r="C54" s="666"/>
      <c r="D54" s="590"/>
      <c r="E54" s="590"/>
      <c r="F54" s="590"/>
      <c r="G54" s="590"/>
      <c r="H54" s="590"/>
      <c r="I54" s="590"/>
      <c r="J54" s="590"/>
      <c r="K54" s="590"/>
      <c r="L54" s="590"/>
      <c r="M54" s="590"/>
      <c r="N54" s="590"/>
      <c r="O54" s="590"/>
      <c r="P54" s="590"/>
      <c r="Q54" s="590"/>
      <c r="R54" s="590"/>
      <c r="S54" s="590"/>
      <c r="T54" s="590"/>
      <c r="U54" s="590"/>
      <c r="V54" s="590"/>
      <c r="W54" s="590"/>
      <c r="X54" s="590"/>
      <c r="Y54" s="590"/>
      <c r="Z54" s="590"/>
      <c r="AA54" s="590"/>
      <c r="AB54" s="590"/>
      <c r="AC54" s="590"/>
      <c r="AD54" s="666"/>
      <c r="AE54" s="787"/>
      <c r="AF54" s="666"/>
      <c r="AG54" s="666"/>
      <c r="AH54" s="666"/>
    </row>
    <row r="55" spans="2:34" s="666" customFormat="1" ht="12.75" customHeight="1" x14ac:dyDescent="0.3">
      <c r="B55" s="645" t="s">
        <v>142</v>
      </c>
      <c r="C55" s="872" t="str">
        <f>IF('0 Úvod'!$M$10="English",Slovnik!$D$207,Slovnik!$C$207)</f>
        <v>Celkové úspory z cestovních dob (CZK)</v>
      </c>
      <c r="D55" s="872"/>
      <c r="E55" s="2381">
        <f>E2</f>
        <v>2021</v>
      </c>
      <c r="F55" s="2377">
        <f t="shared" ref="F55:S55" si="15">E55+1</f>
        <v>2022</v>
      </c>
      <c r="G55" s="2377">
        <f t="shared" si="15"/>
        <v>2023</v>
      </c>
      <c r="H55" s="2377">
        <f t="shared" si="15"/>
        <v>2024</v>
      </c>
      <c r="I55" s="2377">
        <f t="shared" si="15"/>
        <v>2025</v>
      </c>
      <c r="J55" s="2377">
        <f t="shared" si="15"/>
        <v>2026</v>
      </c>
      <c r="K55" s="2377">
        <f t="shared" si="15"/>
        <v>2027</v>
      </c>
      <c r="L55" s="2377">
        <f t="shared" si="15"/>
        <v>2028</v>
      </c>
      <c r="M55" s="2377">
        <f t="shared" si="15"/>
        <v>2029</v>
      </c>
      <c r="N55" s="2377">
        <f t="shared" si="15"/>
        <v>2030</v>
      </c>
      <c r="O55" s="2377">
        <f t="shared" si="15"/>
        <v>2031</v>
      </c>
      <c r="P55" s="2377">
        <f t="shared" si="15"/>
        <v>2032</v>
      </c>
      <c r="Q55" s="2377">
        <f t="shared" si="15"/>
        <v>2033</v>
      </c>
      <c r="R55" s="2377">
        <f t="shared" si="15"/>
        <v>2034</v>
      </c>
      <c r="S55" s="2383">
        <f t="shared" si="15"/>
        <v>2035</v>
      </c>
      <c r="T55" s="669"/>
      <c r="U55" s="669"/>
      <c r="V55" s="669"/>
      <c r="W55" s="669"/>
      <c r="X55" s="669"/>
      <c r="Y55" s="669"/>
      <c r="Z55" s="669"/>
      <c r="AA55" s="669"/>
      <c r="AB55" s="669"/>
      <c r="AC55" s="669"/>
      <c r="AD55" s="667"/>
      <c r="AE55" s="783"/>
      <c r="AF55" s="667"/>
      <c r="AG55" s="667"/>
      <c r="AH55" s="667"/>
    </row>
    <row r="56" spans="2:34" s="666" customFormat="1" ht="12.75" customHeight="1" thickBot="1" x14ac:dyDescent="0.35">
      <c r="B56" s="699" t="s">
        <v>23</v>
      </c>
      <c r="C56" s="700"/>
      <c r="D56" s="650" t="str">
        <f>D39</f>
        <v>Celkem</v>
      </c>
      <c r="E56" s="2382"/>
      <c r="F56" s="2378"/>
      <c r="G56" s="2378"/>
      <c r="H56" s="2378"/>
      <c r="I56" s="2378"/>
      <c r="J56" s="2378"/>
      <c r="K56" s="2378"/>
      <c r="L56" s="2378"/>
      <c r="M56" s="2378"/>
      <c r="N56" s="2378"/>
      <c r="O56" s="2378"/>
      <c r="P56" s="2378"/>
      <c r="Q56" s="2378"/>
      <c r="R56" s="2378"/>
      <c r="S56" s="2384"/>
      <c r="T56" s="669"/>
      <c r="U56" s="669"/>
      <c r="V56" s="669"/>
      <c r="W56" s="669"/>
      <c r="X56" s="669"/>
      <c r="Y56" s="669"/>
      <c r="Z56" s="669"/>
      <c r="AA56" s="669"/>
      <c r="AB56" s="669"/>
      <c r="AC56" s="669"/>
      <c r="AD56" s="667"/>
      <c r="AE56" s="783"/>
      <c r="AF56" s="667"/>
      <c r="AG56" s="667"/>
      <c r="AH56" s="667"/>
    </row>
    <row r="57" spans="2:34" s="666" customFormat="1" ht="14.25" x14ac:dyDescent="0.3">
      <c r="B57" s="885"/>
      <c r="C57" s="889" t="str">
        <f>IF('0 Úvod'!$M$10="English",Slovnik!D208,Slovnik!C208)</f>
        <v>Celkové úspory z cestovních dob v ŽELEZNIČNÍ dopravě</v>
      </c>
      <c r="D57" s="842">
        <f>SUM(E57:S57,E65:S65)</f>
        <v>573070040.45748162</v>
      </c>
      <c r="E57" s="818">
        <f t="shared" ref="E57:S57" si="16">SUM(E4:E7)</f>
        <v>0</v>
      </c>
      <c r="F57" s="732">
        <f t="shared" si="16"/>
        <v>0</v>
      </c>
      <c r="G57" s="732">
        <f t="shared" si="16"/>
        <v>85734934.739377975</v>
      </c>
      <c r="H57" s="732">
        <f t="shared" si="16"/>
        <v>14291934.32337833</v>
      </c>
      <c r="I57" s="732">
        <f t="shared" si="16"/>
        <v>14596982.312402941</v>
      </c>
      <c r="J57" s="732">
        <f t="shared" si="16"/>
        <v>14881169.303363405</v>
      </c>
      <c r="K57" s="732">
        <f t="shared" si="16"/>
        <v>15170902.904284779</v>
      </c>
      <c r="L57" s="732">
        <f t="shared" si="16"/>
        <v>15466291.658039954</v>
      </c>
      <c r="M57" s="732">
        <f t="shared" si="16"/>
        <v>15767446.237557653</v>
      </c>
      <c r="N57" s="732">
        <f t="shared" si="16"/>
        <v>16074479.487746056</v>
      </c>
      <c r="O57" s="732">
        <f t="shared" si="16"/>
        <v>16338560.563195394</v>
      </c>
      <c r="P57" s="732">
        <f t="shared" si="16"/>
        <v>16606995.333369821</v>
      </c>
      <c r="Q57" s="732">
        <f t="shared" si="16"/>
        <v>16879855.843969829</v>
      </c>
      <c r="R57" s="732">
        <f t="shared" si="16"/>
        <v>17157215.337688379</v>
      </c>
      <c r="S57" s="733">
        <f t="shared" si="16"/>
        <v>17439148.274182074</v>
      </c>
      <c r="T57" s="590"/>
      <c r="U57" s="590"/>
      <c r="V57" s="590"/>
      <c r="W57" s="590"/>
      <c r="X57" s="590"/>
      <c r="Y57" s="590"/>
      <c r="Z57" s="590"/>
      <c r="AA57" s="590"/>
      <c r="AB57" s="590"/>
      <c r="AC57" s="590"/>
      <c r="AE57" s="786"/>
    </row>
    <row r="58" spans="2:34" s="666" customFormat="1" ht="14.25" x14ac:dyDescent="0.3">
      <c r="B58" s="885"/>
      <c r="C58" s="890" t="str">
        <f>IF('0 Úvod'!$M$10="English",Slovnik!D209,Slovnik!C209)</f>
        <v>Celkové úspory z cestovních dob v SILNIČNÍ dopravě (dle HDM-4)</v>
      </c>
      <c r="D58" s="842">
        <f>SUM(E58:S58,E66:S66)</f>
        <v>0</v>
      </c>
      <c r="E58" s="818">
        <f t="shared" ref="E58:S58" si="17">SUM(E8:E8)</f>
        <v>0</v>
      </c>
      <c r="F58" s="732">
        <f t="shared" si="17"/>
        <v>0</v>
      </c>
      <c r="G58" s="732">
        <f t="shared" si="17"/>
        <v>0</v>
      </c>
      <c r="H58" s="732">
        <f t="shared" si="17"/>
        <v>0</v>
      </c>
      <c r="I58" s="732">
        <f t="shared" si="17"/>
        <v>0</v>
      </c>
      <c r="J58" s="732">
        <f t="shared" si="17"/>
        <v>0</v>
      </c>
      <c r="K58" s="732">
        <f t="shared" si="17"/>
        <v>0</v>
      </c>
      <c r="L58" s="732">
        <f t="shared" si="17"/>
        <v>0</v>
      </c>
      <c r="M58" s="732">
        <f t="shared" si="17"/>
        <v>0</v>
      </c>
      <c r="N58" s="732">
        <f t="shared" si="17"/>
        <v>0</v>
      </c>
      <c r="O58" s="732">
        <f t="shared" si="17"/>
        <v>0</v>
      </c>
      <c r="P58" s="732">
        <f t="shared" si="17"/>
        <v>0</v>
      </c>
      <c r="Q58" s="732">
        <f t="shared" si="17"/>
        <v>0</v>
      </c>
      <c r="R58" s="732">
        <f t="shared" si="17"/>
        <v>0</v>
      </c>
      <c r="S58" s="733">
        <f t="shared" si="17"/>
        <v>0</v>
      </c>
      <c r="T58" s="590"/>
      <c r="U58" s="590"/>
      <c r="V58" s="590"/>
      <c r="W58" s="590"/>
      <c r="X58" s="590"/>
      <c r="Y58" s="590"/>
      <c r="Z58" s="590"/>
      <c r="AA58" s="590"/>
      <c r="AB58" s="590"/>
      <c r="AC58" s="590"/>
      <c r="AE58" s="786"/>
    </row>
    <row r="59" spans="2:34" s="666" customFormat="1" ht="14.25" x14ac:dyDescent="0.3">
      <c r="B59" s="885"/>
      <c r="C59" s="890" t="str">
        <f>IF('0 Úvod'!$M$10="English",Slovnik!D210,Slovnik!C210)</f>
        <v>Celkové úspory z cestovních dob INDUKOVANÉ dopravy</v>
      </c>
      <c r="D59" s="842">
        <f>SUM(E59:S59,E67:S67)</f>
        <v>0</v>
      </c>
      <c r="E59" s="818">
        <f>E27</f>
        <v>0</v>
      </c>
      <c r="F59" s="732">
        <f t="shared" ref="F59:S59" si="18">F27</f>
        <v>0</v>
      </c>
      <c r="G59" s="732">
        <f t="shared" si="18"/>
        <v>0</v>
      </c>
      <c r="H59" s="732">
        <f t="shared" si="18"/>
        <v>0</v>
      </c>
      <c r="I59" s="732">
        <f t="shared" si="18"/>
        <v>0</v>
      </c>
      <c r="J59" s="732">
        <f t="shared" si="18"/>
        <v>0</v>
      </c>
      <c r="K59" s="732">
        <f t="shared" si="18"/>
        <v>0</v>
      </c>
      <c r="L59" s="732">
        <f t="shared" si="18"/>
        <v>0</v>
      </c>
      <c r="M59" s="732">
        <f t="shared" si="18"/>
        <v>0</v>
      </c>
      <c r="N59" s="732">
        <f t="shared" si="18"/>
        <v>0</v>
      </c>
      <c r="O59" s="732">
        <f t="shared" si="18"/>
        <v>0</v>
      </c>
      <c r="P59" s="732">
        <f t="shared" si="18"/>
        <v>0</v>
      </c>
      <c r="Q59" s="732">
        <f t="shared" si="18"/>
        <v>0</v>
      </c>
      <c r="R59" s="732">
        <f t="shared" si="18"/>
        <v>0</v>
      </c>
      <c r="S59" s="733">
        <f t="shared" si="18"/>
        <v>0</v>
      </c>
      <c r="T59" s="590"/>
      <c r="U59" s="590"/>
      <c r="V59" s="590"/>
      <c r="W59" s="590"/>
      <c r="X59" s="590"/>
      <c r="Y59" s="590"/>
      <c r="Z59" s="590"/>
      <c r="AA59" s="590"/>
      <c r="AB59" s="590"/>
      <c r="AC59" s="590"/>
      <c r="AE59" s="786"/>
    </row>
    <row r="60" spans="2:34" s="666" customFormat="1" ht="14.25" x14ac:dyDescent="0.3">
      <c r="B60" s="886"/>
      <c r="C60" s="891" t="str">
        <f>IF('0 Úvod'!$M$10="English",Slovnik!D211,Slovnik!C211)</f>
        <v>Celkové úspory z cestovních dob PŘEVEDENÉ dopravy</v>
      </c>
      <c r="D60" s="842">
        <f>SUM(E60:S60,E68:S68)</f>
        <v>0</v>
      </c>
      <c r="E60" s="892">
        <f>E44</f>
        <v>0</v>
      </c>
      <c r="F60" s="893">
        <f t="shared" ref="F60:S60" si="19">F44</f>
        <v>0</v>
      </c>
      <c r="G60" s="893">
        <f t="shared" si="19"/>
        <v>0</v>
      </c>
      <c r="H60" s="893">
        <f t="shared" si="19"/>
        <v>0</v>
      </c>
      <c r="I60" s="893">
        <f t="shared" si="19"/>
        <v>0</v>
      </c>
      <c r="J60" s="893">
        <f t="shared" si="19"/>
        <v>0</v>
      </c>
      <c r="K60" s="893">
        <f t="shared" si="19"/>
        <v>0</v>
      </c>
      <c r="L60" s="893">
        <f t="shared" si="19"/>
        <v>0</v>
      </c>
      <c r="M60" s="893">
        <f t="shared" si="19"/>
        <v>0</v>
      </c>
      <c r="N60" s="893">
        <f t="shared" si="19"/>
        <v>0</v>
      </c>
      <c r="O60" s="893">
        <f t="shared" si="19"/>
        <v>0</v>
      </c>
      <c r="P60" s="893">
        <f t="shared" si="19"/>
        <v>0</v>
      </c>
      <c r="Q60" s="893">
        <f t="shared" si="19"/>
        <v>0</v>
      </c>
      <c r="R60" s="893">
        <f t="shared" si="19"/>
        <v>0</v>
      </c>
      <c r="S60" s="894">
        <f t="shared" si="19"/>
        <v>0</v>
      </c>
      <c r="T60" s="590"/>
      <c r="U60" s="590"/>
      <c r="V60" s="590"/>
      <c r="W60" s="590"/>
      <c r="X60" s="590"/>
      <c r="Y60" s="590"/>
      <c r="Z60" s="590"/>
      <c r="AA60" s="590"/>
      <c r="AB60" s="590"/>
      <c r="AC60" s="590"/>
      <c r="AE60" s="791"/>
    </row>
    <row r="61" spans="2:34" s="666" customFormat="1" ht="15" thickBot="1" x14ac:dyDescent="0.35">
      <c r="B61" s="881"/>
      <c r="C61" s="772" t="str">
        <f>IF('0 Úvod'!$M$10="English",Slovnik!D212,Slovnik!C212)</f>
        <v>Celkové úspory z cestovních dob</v>
      </c>
      <c r="D61" s="654">
        <f>SUM(E61:S61,E69:S69)</f>
        <v>573070040.45748162</v>
      </c>
      <c r="E61" s="882">
        <f>SUM(E57:E60)</f>
        <v>0</v>
      </c>
      <c r="F61" s="883">
        <f t="shared" ref="F61:S61" si="20">SUM(F57:F60)</f>
        <v>0</v>
      </c>
      <c r="G61" s="883">
        <f t="shared" si="20"/>
        <v>85734934.739377975</v>
      </c>
      <c r="H61" s="883">
        <f t="shared" si="20"/>
        <v>14291934.32337833</v>
      </c>
      <c r="I61" s="883">
        <f t="shared" si="20"/>
        <v>14596982.312402941</v>
      </c>
      <c r="J61" s="883">
        <f t="shared" si="20"/>
        <v>14881169.303363405</v>
      </c>
      <c r="K61" s="883">
        <f t="shared" si="20"/>
        <v>15170902.904284779</v>
      </c>
      <c r="L61" s="883">
        <f t="shared" si="20"/>
        <v>15466291.658039954</v>
      </c>
      <c r="M61" s="883">
        <f t="shared" si="20"/>
        <v>15767446.237557653</v>
      </c>
      <c r="N61" s="883">
        <f t="shared" si="20"/>
        <v>16074479.487746056</v>
      </c>
      <c r="O61" s="883">
        <f t="shared" si="20"/>
        <v>16338560.563195394</v>
      </c>
      <c r="P61" s="883">
        <f t="shared" si="20"/>
        <v>16606995.333369821</v>
      </c>
      <c r="Q61" s="883">
        <f t="shared" si="20"/>
        <v>16879855.843969829</v>
      </c>
      <c r="R61" s="883">
        <f t="shared" si="20"/>
        <v>17157215.337688379</v>
      </c>
      <c r="S61" s="884">
        <f t="shared" si="20"/>
        <v>17439148.274182074</v>
      </c>
      <c r="T61" s="590"/>
      <c r="U61" s="590"/>
      <c r="V61" s="590"/>
      <c r="W61" s="590"/>
      <c r="X61" s="590"/>
      <c r="Y61" s="590"/>
      <c r="Z61" s="590"/>
      <c r="AA61" s="590"/>
      <c r="AB61" s="590"/>
      <c r="AC61" s="590"/>
      <c r="AE61" s="783"/>
    </row>
    <row r="62" spans="2:34" s="666" customFormat="1" ht="14.25" thickBot="1" x14ac:dyDescent="0.35">
      <c r="D62" s="590"/>
      <c r="E62" s="590"/>
      <c r="F62" s="590"/>
      <c r="G62" s="590"/>
      <c r="H62" s="590"/>
      <c r="I62" s="590"/>
      <c r="J62" s="590"/>
      <c r="K62" s="590"/>
      <c r="L62" s="590"/>
      <c r="M62" s="590"/>
      <c r="N62" s="590"/>
      <c r="O62" s="590"/>
      <c r="P62" s="590"/>
      <c r="Q62" s="590"/>
      <c r="R62" s="590"/>
      <c r="S62" s="590"/>
      <c r="T62" s="590"/>
      <c r="U62" s="590"/>
      <c r="V62" s="590"/>
      <c r="W62" s="590"/>
      <c r="X62" s="590"/>
      <c r="Y62" s="590"/>
      <c r="Z62" s="590"/>
      <c r="AA62" s="590"/>
      <c r="AB62" s="590"/>
      <c r="AC62" s="590"/>
      <c r="AE62" s="787"/>
    </row>
    <row r="63" spans="2:34" s="666" customFormat="1" ht="12.75" customHeight="1" x14ac:dyDescent="0.3">
      <c r="B63" s="645" t="s">
        <v>142</v>
      </c>
      <c r="C63" s="872" t="str">
        <f>C55</f>
        <v>Celkové úspory z cestovních dob (CZK)</v>
      </c>
      <c r="D63" s="872"/>
      <c r="E63" s="2381">
        <f>S55+1</f>
        <v>2036</v>
      </c>
      <c r="F63" s="2377">
        <f t="shared" ref="F63:S63" si="21">E63+1</f>
        <v>2037</v>
      </c>
      <c r="G63" s="2377">
        <f t="shared" si="21"/>
        <v>2038</v>
      </c>
      <c r="H63" s="2377">
        <f t="shared" si="21"/>
        <v>2039</v>
      </c>
      <c r="I63" s="2377">
        <f t="shared" si="21"/>
        <v>2040</v>
      </c>
      <c r="J63" s="2377">
        <f t="shared" si="21"/>
        <v>2041</v>
      </c>
      <c r="K63" s="2377">
        <f t="shared" si="21"/>
        <v>2042</v>
      </c>
      <c r="L63" s="2377">
        <f t="shared" si="21"/>
        <v>2043</v>
      </c>
      <c r="M63" s="2377">
        <f t="shared" si="21"/>
        <v>2044</v>
      </c>
      <c r="N63" s="2377">
        <f t="shared" si="21"/>
        <v>2045</v>
      </c>
      <c r="O63" s="2377">
        <f t="shared" si="21"/>
        <v>2046</v>
      </c>
      <c r="P63" s="2377">
        <f t="shared" si="21"/>
        <v>2047</v>
      </c>
      <c r="Q63" s="2377">
        <f t="shared" si="21"/>
        <v>2048</v>
      </c>
      <c r="R63" s="2377">
        <f t="shared" si="21"/>
        <v>2049</v>
      </c>
      <c r="S63" s="2383">
        <f t="shared" si="21"/>
        <v>2050</v>
      </c>
      <c r="T63" s="669"/>
      <c r="U63" s="669"/>
      <c r="V63" s="669"/>
      <c r="W63" s="669"/>
      <c r="X63" s="669"/>
      <c r="Y63" s="669"/>
      <c r="Z63" s="669"/>
      <c r="AA63" s="669"/>
      <c r="AB63" s="669"/>
      <c r="AC63" s="669"/>
      <c r="AD63" s="667"/>
      <c r="AE63" s="783"/>
      <c r="AF63" s="667"/>
      <c r="AG63" s="667"/>
      <c r="AH63" s="667"/>
    </row>
    <row r="64" spans="2:34" s="666" customFormat="1" ht="12.75" customHeight="1" thickBot="1" x14ac:dyDescent="0.35">
      <c r="B64" s="699" t="s">
        <v>24</v>
      </c>
      <c r="C64" s="655"/>
      <c r="D64" s="1725"/>
      <c r="E64" s="2382"/>
      <c r="F64" s="2378"/>
      <c r="G64" s="2378"/>
      <c r="H64" s="2378"/>
      <c r="I64" s="2378"/>
      <c r="J64" s="2378"/>
      <c r="K64" s="2378"/>
      <c r="L64" s="2378"/>
      <c r="M64" s="2378"/>
      <c r="N64" s="2378"/>
      <c r="O64" s="2378"/>
      <c r="P64" s="2378"/>
      <c r="Q64" s="2378"/>
      <c r="R64" s="2378"/>
      <c r="S64" s="2384"/>
      <c r="T64" s="669"/>
      <c r="U64" s="669"/>
      <c r="V64" s="669"/>
      <c r="W64" s="669"/>
      <c r="X64" s="669"/>
      <c r="Y64" s="669"/>
      <c r="Z64" s="669"/>
      <c r="AA64" s="669"/>
      <c r="AB64" s="669"/>
      <c r="AC64" s="669"/>
      <c r="AD64" s="667"/>
      <c r="AE64" s="783"/>
      <c r="AF64" s="667"/>
      <c r="AG64" s="667"/>
      <c r="AH64" s="667"/>
    </row>
    <row r="65" spans="2:31" s="666" customFormat="1" ht="14.25" x14ac:dyDescent="0.3">
      <c r="B65" s="885"/>
      <c r="C65" s="889" t="str">
        <f>C57</f>
        <v>Celkové úspory z cestovních dob v ŽELEZNIČNÍ dopravě</v>
      </c>
      <c r="D65" s="887"/>
      <c r="E65" s="818">
        <f t="shared" ref="E65:S65" si="22">SUM(E13:E16)</f>
        <v>17714025.330467973</v>
      </c>
      <c r="F65" s="895">
        <f t="shared" si="22"/>
        <v>17993251.612381209</v>
      </c>
      <c r="G65" s="895">
        <f t="shared" si="22"/>
        <v>18276896.218278233</v>
      </c>
      <c r="H65" s="895">
        <f t="shared" si="22"/>
        <v>18565029.349123865</v>
      </c>
      <c r="I65" s="895">
        <f t="shared" si="22"/>
        <v>18857722.326167047</v>
      </c>
      <c r="J65" s="895">
        <f t="shared" si="22"/>
        <v>19147382.661363602</v>
      </c>
      <c r="K65" s="895">
        <f t="shared" si="22"/>
        <v>19441510.316437297</v>
      </c>
      <c r="L65" s="895">
        <f t="shared" si="22"/>
        <v>19740174.489482481</v>
      </c>
      <c r="M65" s="895">
        <f t="shared" si="22"/>
        <v>20043445.455438755</v>
      </c>
      <c r="N65" s="895">
        <f t="shared" si="22"/>
        <v>20351394.582930654</v>
      </c>
      <c r="O65" s="895">
        <f t="shared" si="22"/>
        <v>20663339.714785881</v>
      </c>
      <c r="P65" s="895">
        <f t="shared" si="22"/>
        <v>20980085.931691475</v>
      </c>
      <c r="Q65" s="895">
        <f t="shared" si="22"/>
        <v>21301707.451599143</v>
      </c>
      <c r="R65" s="895">
        <f t="shared" si="22"/>
        <v>21628279.645143665</v>
      </c>
      <c r="S65" s="896">
        <f t="shared" si="22"/>
        <v>21959879.053633802</v>
      </c>
      <c r="T65" s="590"/>
      <c r="U65" s="590"/>
      <c r="V65" s="590"/>
      <c r="W65" s="590"/>
      <c r="X65" s="590"/>
      <c r="Y65" s="590"/>
      <c r="Z65" s="590"/>
      <c r="AA65" s="590"/>
      <c r="AB65" s="590"/>
      <c r="AC65" s="590"/>
      <c r="AE65" s="786"/>
    </row>
    <row r="66" spans="2:31" s="666" customFormat="1" ht="14.25" x14ac:dyDescent="0.3">
      <c r="B66" s="885"/>
      <c r="C66" s="890" t="str">
        <f>C58</f>
        <v>Celkové úspory z cestovních dob v SILNIČNÍ dopravě (dle HDM-4)</v>
      </c>
      <c r="D66" s="887"/>
      <c r="E66" s="818">
        <f t="shared" ref="E66:S66" si="23">SUM(E17:E17)</f>
        <v>0</v>
      </c>
      <c r="F66" s="732">
        <f t="shared" si="23"/>
        <v>0</v>
      </c>
      <c r="G66" s="732">
        <f t="shared" si="23"/>
        <v>0</v>
      </c>
      <c r="H66" s="732">
        <f t="shared" si="23"/>
        <v>0</v>
      </c>
      <c r="I66" s="732">
        <f t="shared" si="23"/>
        <v>0</v>
      </c>
      <c r="J66" s="732">
        <f t="shared" si="23"/>
        <v>0</v>
      </c>
      <c r="K66" s="732">
        <f t="shared" si="23"/>
        <v>0</v>
      </c>
      <c r="L66" s="732">
        <f t="shared" si="23"/>
        <v>0</v>
      </c>
      <c r="M66" s="732">
        <f t="shared" si="23"/>
        <v>0</v>
      </c>
      <c r="N66" s="732">
        <f t="shared" si="23"/>
        <v>0</v>
      </c>
      <c r="O66" s="732">
        <f t="shared" si="23"/>
        <v>0</v>
      </c>
      <c r="P66" s="732">
        <f t="shared" si="23"/>
        <v>0</v>
      </c>
      <c r="Q66" s="732">
        <f t="shared" si="23"/>
        <v>0</v>
      </c>
      <c r="R66" s="732">
        <f t="shared" si="23"/>
        <v>0</v>
      </c>
      <c r="S66" s="733">
        <f t="shared" si="23"/>
        <v>0</v>
      </c>
      <c r="T66" s="590"/>
      <c r="U66" s="590"/>
      <c r="V66" s="590"/>
      <c r="W66" s="590"/>
      <c r="X66" s="590"/>
      <c r="Y66" s="590"/>
      <c r="Z66" s="590"/>
      <c r="AA66" s="590"/>
      <c r="AB66" s="590"/>
      <c r="AC66" s="590"/>
      <c r="AE66" s="786"/>
    </row>
    <row r="67" spans="2:31" s="666" customFormat="1" ht="14.25" x14ac:dyDescent="0.3">
      <c r="B67" s="885"/>
      <c r="C67" s="890" t="str">
        <f>C59</f>
        <v>Celkové úspory z cestovních dob INDUKOVANÉ dopravy</v>
      </c>
      <c r="D67" s="887"/>
      <c r="E67" s="818">
        <f>E35</f>
        <v>0</v>
      </c>
      <c r="F67" s="732">
        <f t="shared" ref="F67:S67" si="24">F35</f>
        <v>0</v>
      </c>
      <c r="G67" s="732">
        <f t="shared" si="24"/>
        <v>0</v>
      </c>
      <c r="H67" s="732">
        <f t="shared" si="24"/>
        <v>0</v>
      </c>
      <c r="I67" s="732">
        <f t="shared" si="24"/>
        <v>0</v>
      </c>
      <c r="J67" s="732">
        <f t="shared" si="24"/>
        <v>0</v>
      </c>
      <c r="K67" s="732">
        <f t="shared" si="24"/>
        <v>0</v>
      </c>
      <c r="L67" s="732">
        <f t="shared" si="24"/>
        <v>0</v>
      </c>
      <c r="M67" s="732">
        <f t="shared" si="24"/>
        <v>0</v>
      </c>
      <c r="N67" s="732">
        <f t="shared" si="24"/>
        <v>0</v>
      </c>
      <c r="O67" s="732">
        <f t="shared" si="24"/>
        <v>0</v>
      </c>
      <c r="P67" s="732">
        <f t="shared" si="24"/>
        <v>0</v>
      </c>
      <c r="Q67" s="732">
        <f t="shared" si="24"/>
        <v>0</v>
      </c>
      <c r="R67" s="732">
        <f t="shared" si="24"/>
        <v>0</v>
      </c>
      <c r="S67" s="733">
        <f t="shared" si="24"/>
        <v>0</v>
      </c>
      <c r="T67" s="590"/>
      <c r="U67" s="590"/>
      <c r="V67" s="590"/>
      <c r="W67" s="590"/>
      <c r="X67" s="590"/>
      <c r="Y67" s="590"/>
      <c r="Z67" s="590"/>
      <c r="AA67" s="590"/>
      <c r="AB67" s="590"/>
      <c r="AC67" s="590"/>
      <c r="AE67" s="786"/>
    </row>
    <row r="68" spans="2:31" s="666" customFormat="1" ht="14.25" x14ac:dyDescent="0.3">
      <c r="B68" s="886"/>
      <c r="C68" s="891" t="str">
        <f>C60</f>
        <v>Celkové úspory z cestovních dob PŘEVEDENÉ dopravy</v>
      </c>
      <c r="D68" s="888"/>
      <c r="E68" s="892">
        <f>E52</f>
        <v>0</v>
      </c>
      <c r="F68" s="893">
        <f t="shared" ref="F68:S68" si="25">F52</f>
        <v>0</v>
      </c>
      <c r="G68" s="893">
        <f t="shared" si="25"/>
        <v>0</v>
      </c>
      <c r="H68" s="893">
        <f t="shared" si="25"/>
        <v>0</v>
      </c>
      <c r="I68" s="893">
        <f t="shared" si="25"/>
        <v>0</v>
      </c>
      <c r="J68" s="893">
        <f t="shared" si="25"/>
        <v>0</v>
      </c>
      <c r="K68" s="893">
        <f t="shared" si="25"/>
        <v>0</v>
      </c>
      <c r="L68" s="893">
        <f t="shared" si="25"/>
        <v>0</v>
      </c>
      <c r="M68" s="893">
        <f t="shared" si="25"/>
        <v>0</v>
      </c>
      <c r="N68" s="893">
        <f t="shared" si="25"/>
        <v>0</v>
      </c>
      <c r="O68" s="893">
        <f t="shared" si="25"/>
        <v>0</v>
      </c>
      <c r="P68" s="893">
        <f t="shared" si="25"/>
        <v>0</v>
      </c>
      <c r="Q68" s="893">
        <f t="shared" si="25"/>
        <v>0</v>
      </c>
      <c r="R68" s="893">
        <f t="shared" si="25"/>
        <v>0</v>
      </c>
      <c r="S68" s="894">
        <f t="shared" si="25"/>
        <v>0</v>
      </c>
      <c r="T68" s="590"/>
      <c r="U68" s="590"/>
      <c r="V68" s="590"/>
      <c r="W68" s="590"/>
      <c r="X68" s="590"/>
      <c r="Y68" s="590"/>
      <c r="Z68" s="590"/>
      <c r="AA68" s="590"/>
      <c r="AB68" s="590"/>
      <c r="AC68" s="590"/>
      <c r="AE68" s="791"/>
    </row>
    <row r="69" spans="2:31" s="666" customFormat="1" ht="15" thickBot="1" x14ac:dyDescent="0.35">
      <c r="B69" s="881"/>
      <c r="C69" s="772" t="str">
        <f>C61</f>
        <v>Celkové úspory z cestovních dob</v>
      </c>
      <c r="D69" s="883"/>
      <c r="E69" s="882">
        <f t="shared" ref="E69:S69" si="26">SUM(E65:E68)</f>
        <v>17714025.330467973</v>
      </c>
      <c r="F69" s="883">
        <f t="shared" si="26"/>
        <v>17993251.612381209</v>
      </c>
      <c r="G69" s="883">
        <f t="shared" si="26"/>
        <v>18276896.218278233</v>
      </c>
      <c r="H69" s="883">
        <f t="shared" si="26"/>
        <v>18565029.349123865</v>
      </c>
      <c r="I69" s="883">
        <f t="shared" si="26"/>
        <v>18857722.326167047</v>
      </c>
      <c r="J69" s="883">
        <f t="shared" si="26"/>
        <v>19147382.661363602</v>
      </c>
      <c r="K69" s="883">
        <f t="shared" si="26"/>
        <v>19441510.316437297</v>
      </c>
      <c r="L69" s="883">
        <f t="shared" si="26"/>
        <v>19740174.489482481</v>
      </c>
      <c r="M69" s="883">
        <f t="shared" si="26"/>
        <v>20043445.455438755</v>
      </c>
      <c r="N69" s="883">
        <f t="shared" si="26"/>
        <v>20351394.582930654</v>
      </c>
      <c r="O69" s="883">
        <f t="shared" si="26"/>
        <v>20663339.714785881</v>
      </c>
      <c r="P69" s="883">
        <f t="shared" si="26"/>
        <v>20980085.931691475</v>
      </c>
      <c r="Q69" s="883">
        <f t="shared" si="26"/>
        <v>21301707.451599143</v>
      </c>
      <c r="R69" s="883">
        <f t="shared" si="26"/>
        <v>21628279.645143665</v>
      </c>
      <c r="S69" s="884">
        <f t="shared" si="26"/>
        <v>21959879.053633802</v>
      </c>
      <c r="T69" s="590"/>
      <c r="U69" s="590"/>
      <c r="V69" s="590"/>
      <c r="W69" s="590"/>
      <c r="X69" s="590"/>
      <c r="Y69" s="590"/>
      <c r="Z69" s="590"/>
      <c r="AA69" s="590"/>
      <c r="AB69" s="590"/>
      <c r="AC69" s="590"/>
      <c r="AE69" s="783"/>
    </row>
    <row r="71" spans="2:31" ht="14.25" thickBot="1" x14ac:dyDescent="0.35"/>
    <row r="72" spans="2:31" ht="14.25" x14ac:dyDescent="0.3">
      <c r="B72" s="792"/>
      <c r="C72" s="793" t="str">
        <f>IF('0 Úvod'!$M$10="English",Slovnik!D213,Slovnik!C213)</f>
        <v>Úspory z cestovních dob v železniční dopravě (CZK)</v>
      </c>
      <c r="D72" s="860">
        <f>SUM(D4:D7)</f>
        <v>573070040.45748162</v>
      </c>
    </row>
    <row r="73" spans="2:31" ht="14.25" x14ac:dyDescent="0.3">
      <c r="B73" s="815"/>
      <c r="C73" s="816" t="str">
        <f>IF('0 Úvod'!$M$10="English",Slovnik!D214,Slovnik!C214)</f>
        <v>Úspory z cestovních dob v silniční dopravě dle HDM-4 (CZK)</v>
      </c>
      <c r="D73" s="817">
        <f>SUM(D8:D8)</f>
        <v>0</v>
      </c>
    </row>
    <row r="74" spans="2:31" ht="14.25" x14ac:dyDescent="0.3">
      <c r="B74" s="794"/>
      <c r="C74" s="795" t="str">
        <f>IF('0 Úvod'!$M$10="English",Slovnik!D215,Slovnik!C215)</f>
        <v>Úspory z cestovních dob indukované dopravy (CZK)</v>
      </c>
      <c r="D74" s="859">
        <f>D27</f>
        <v>0</v>
      </c>
    </row>
    <row r="75" spans="2:31" ht="14.25" x14ac:dyDescent="0.3">
      <c r="B75" s="794"/>
      <c r="C75" s="795" t="str">
        <f>IF('0 Úvod'!$M$10="English",Slovnik!D216,Slovnik!C216)</f>
        <v>Úspory z cestovních dob převedené dopravy (CZK)</v>
      </c>
      <c r="D75" s="921">
        <f>D44</f>
        <v>0</v>
      </c>
    </row>
    <row r="76" spans="2:31" ht="15" thickBot="1" x14ac:dyDescent="0.35">
      <c r="B76" s="796"/>
      <c r="C76" s="797" t="str">
        <f>IF('0 Úvod'!$M$10="English",Slovnik!D217,Slovnik!C217)</f>
        <v>Celkové úspory z cestovních dob (CZK)</v>
      </c>
      <c r="D76" s="884">
        <f>D61</f>
        <v>573070040.45748162</v>
      </c>
      <c r="E76" s="798"/>
      <c r="F76" s="798"/>
      <c r="G76" s="798"/>
      <c r="H76" s="798"/>
      <c r="I76" s="798"/>
      <c r="J76" s="798"/>
      <c r="K76" s="798"/>
      <c r="L76" s="798"/>
      <c r="M76" s="798"/>
      <c r="N76" s="798"/>
      <c r="O76" s="798"/>
      <c r="P76" s="666"/>
    </row>
    <row r="77" spans="2:31" ht="14.25" thickBot="1" x14ac:dyDescent="0.35"/>
    <row r="78" spans="2:31" ht="13.5" customHeight="1" thickBot="1" x14ac:dyDescent="0.35">
      <c r="E78" s="2405" t="str">
        <f>IF('0 Úvod'!$M$10="English",Slovnik!$D$228,Slovnik!$C$228)</f>
        <v>CÚ</v>
      </c>
      <c r="F78" s="2406"/>
      <c r="J78" s="666"/>
      <c r="K78" s="2387" t="str">
        <f>IF('0 Úvod'!$M$10="English",Slovnik!$D$239,Slovnik!$C$239)</f>
        <v>Poměr cest</v>
      </c>
      <c r="L78" s="2388"/>
      <c r="M78" s="2388"/>
      <c r="N78" s="2389"/>
    </row>
    <row r="79" spans="2:31" ht="18" customHeight="1" thickBot="1" x14ac:dyDescent="0.35">
      <c r="B79" s="799" t="s">
        <v>143</v>
      </c>
      <c r="C79" s="922" t="str">
        <f>IF('0 Úvod'!$M$10="English",Slovnik!$D$218,Slovnik!$C$218)</f>
        <v>HODNOTY ČASU</v>
      </c>
      <c r="D79" s="800"/>
      <c r="E79" s="819">
        <v>2017</v>
      </c>
      <c r="F79" s="820">
        <f>'0 Úvod'!D18</f>
        <v>2020</v>
      </c>
      <c r="J79" s="801"/>
      <c r="K79" s="2390"/>
      <c r="L79" s="2391"/>
      <c r="M79" s="2391"/>
      <c r="N79" s="2392"/>
    </row>
    <row r="80" spans="2:31" ht="13.15" customHeight="1" x14ac:dyDescent="0.3">
      <c r="B80" s="2393" t="str">
        <f>IF('0 Úvod'!$M$10="English",Slovnik!$D$219,Slovnik!$C$219)</f>
        <v>Osobní doprava</v>
      </c>
      <c r="C80" s="2394"/>
      <c r="D80" s="2394"/>
      <c r="E80" s="802" t="str">
        <f>IF('0 Úvod'!$M$10="English",Slovnik!$D$229,Slovnik!$C$229)</f>
        <v>CZK/oshod</v>
      </c>
      <c r="F80" s="802" t="str">
        <f>IF('0 Úvod'!$M$10="English",Slovnik!$D$229,Slovnik!$C$229)</f>
        <v>CZK/oshod</v>
      </c>
      <c r="J80" s="801"/>
      <c r="K80" s="830" t="str">
        <f>IF('0 Úvod'!$M$10="English",Slovnik!$D$240,Slovnik!$C$240)</f>
        <v>krátké</v>
      </c>
      <c r="L80" s="831" t="str">
        <f>IF('0 Úvod'!$M$10="English",Slovnik!$D$241,Slovnik!$C$241)</f>
        <v>dlouhé</v>
      </c>
      <c r="M80" s="831" t="str">
        <f>IF('0 Úvod'!$M$10="English",Slovnik!$D$242,Slovnik!$C$242)</f>
        <v>BUS</v>
      </c>
      <c r="N80" s="832" t="str">
        <f>IF('0 Úvod'!$M$10="English",Slovnik!$D$243,Slovnik!$C$243)</f>
        <v>IAD</v>
      </c>
    </row>
    <row r="81" spans="2:15" ht="14.25" x14ac:dyDescent="0.3">
      <c r="B81" s="2395" t="str">
        <f>IF('0 Úvod'!$M$10="English",Slovnik!$D$220,Slovnik!$C$220)</f>
        <v>Pracovní čas</v>
      </c>
      <c r="C81" s="2396"/>
      <c r="D81" s="915" t="str">
        <f>IF('0 Úvod'!$M$10="English",Slovnik!$D$226,Slovnik!$C$226)</f>
        <v>Bus</v>
      </c>
      <c r="E81" s="2016">
        <v>481.7</v>
      </c>
      <c r="F81" s="2004">
        <f>E81*(1+'0 Úvod'!$L$41)*(1+'0 Úvod'!$M$41)*(1+'0 Úvod'!$N$41)*(1+'0 Úvod'!$L$57*$D$145)*(1+'0 Úvod'!$M$57*$D$145)*(1+'0 Úvod'!$N$57*$D$145)</f>
        <v>535.31511304036212</v>
      </c>
      <c r="G81" s="1997"/>
      <c r="J81" s="1998"/>
      <c r="K81" s="2005"/>
      <c r="L81" s="1996"/>
      <c r="M81" s="1996"/>
      <c r="N81" s="2006"/>
      <c r="O81" s="1997"/>
    </row>
    <row r="82" spans="2:15" ht="14.25" x14ac:dyDescent="0.3">
      <c r="B82" s="2397"/>
      <c r="C82" s="2398"/>
      <c r="D82" s="915" t="str">
        <f>IF('0 Úvod'!$M$10="English",Slovnik!$D$227,Slovnik!$C$227)</f>
        <v>Auto, vlak</v>
      </c>
      <c r="E82" s="2016">
        <v>600.34</v>
      </c>
      <c r="F82" s="2004">
        <f>E82*(1+'0 Úvod'!$L$41)*(1+'0 Úvod'!$M$41)*(1+'0 Úvod'!$N$41)*(1+'0 Úvod'!$L$57*$D$145)*(1+'0 Úvod'!$M$57*$D$145)*(1+'0 Úvod'!$N$57*$D$145)</f>
        <v>667.16021374849709</v>
      </c>
      <c r="G82" s="1997"/>
      <c r="J82" s="1998"/>
      <c r="K82" s="2007">
        <v>0.1</v>
      </c>
      <c r="L82" s="2008"/>
      <c r="M82" s="2008"/>
      <c r="N82" s="2009"/>
      <c r="O82" s="1997"/>
    </row>
    <row r="83" spans="2:15" ht="14.25" x14ac:dyDescent="0.3">
      <c r="B83" s="2399" t="str">
        <f>IF('0 Úvod'!$M$10="English",Slovnik!$D$221,Slovnik!$C$221)</f>
        <v>Nepracovní čas</v>
      </c>
      <c r="C83" s="2402" t="str">
        <f>IF('0 Úvod'!$M$10="English",Slovnik!$D$222,Slovnik!$C$222)</f>
        <v>Krátká dojížďka</v>
      </c>
      <c r="D83" s="915" t="str">
        <f>IF('0 Úvod'!$M$10="English",Slovnik!$D$226,Slovnik!$C$226)</f>
        <v>Bus</v>
      </c>
      <c r="E83" s="2016">
        <v>168.01</v>
      </c>
      <c r="F83" s="2004">
        <f>E83*(1+'0 Úvod'!$L$41)*(1+'0 Úvod'!$M$41)*(1+'0 Úvod'!$N$41)*(1+'0 Úvod'!$L$57*$D$146)*(1+'0 Úvod'!$M$57*$D$146)*(1+'0 Úvod'!$N$57*$D$146)</f>
        <v>185.11360372311643</v>
      </c>
      <c r="G83" s="1997"/>
      <c r="J83" s="1998"/>
      <c r="K83" s="2007"/>
      <c r="L83" s="2008"/>
      <c r="M83" s="2010"/>
      <c r="N83" s="2009"/>
      <c r="O83" s="1997"/>
    </row>
    <row r="84" spans="2:15" ht="14.25" x14ac:dyDescent="0.3">
      <c r="B84" s="2400"/>
      <c r="C84" s="2403"/>
      <c r="D84" s="915" t="str">
        <f>IF('0 Úvod'!$M$10="English",Slovnik!$D$227,Slovnik!$C$227)</f>
        <v>Auto, vlak</v>
      </c>
      <c r="E84" s="2016">
        <v>233.92</v>
      </c>
      <c r="F84" s="2004">
        <f>E84*(1+'0 Úvod'!$L$41)*(1+'0 Úvod'!$M$41)*(1+'0 Úvod'!$N$41)*(1+'0 Úvod'!$L$57*$D$146)*(1+'0 Úvod'!$M$57*$D$146)*(1+'0 Úvod'!$N$57*$D$146)</f>
        <v>257.73331458193792</v>
      </c>
      <c r="G84" s="1997"/>
      <c r="J84" s="1998"/>
      <c r="K84" s="2011">
        <v>0.315</v>
      </c>
      <c r="L84" s="2008"/>
      <c r="M84" s="2008"/>
      <c r="N84" s="2012"/>
      <c r="O84" s="1997"/>
    </row>
    <row r="85" spans="2:15" ht="14.25" x14ac:dyDescent="0.3">
      <c r="B85" s="2400"/>
      <c r="C85" s="2402" t="str">
        <f>IF('0 Úvod'!$M$10="English",Slovnik!$D$223,Slovnik!$C$223)</f>
        <v>Dlouhá dojížďka</v>
      </c>
      <c r="D85" s="915" t="str">
        <f>IF('0 Úvod'!$M$10="English",Slovnik!$D$226,Slovnik!$C$226)</f>
        <v>Bus</v>
      </c>
      <c r="E85" s="2016">
        <v>216.02</v>
      </c>
      <c r="F85" s="2004">
        <f>E85*(1+'0 Úvod'!$L$41)*(1+'0 Úvod'!$M$41)*(1+'0 Úvod'!$N$41)*(1+'0 Úvod'!$L$57*$D$146)*(1+'0 Úvod'!$M$57*$D$146)*(1+'0 Úvod'!$N$57*$D$146)</f>
        <v>238.01107479475994</v>
      </c>
      <c r="G85" s="1997"/>
      <c r="J85" s="1998"/>
      <c r="K85" s="2007"/>
      <c r="L85" s="2008"/>
      <c r="M85" s="2010"/>
      <c r="N85" s="2009"/>
      <c r="O85" s="1997"/>
    </row>
    <row r="86" spans="2:15" ht="14.25" x14ac:dyDescent="0.3">
      <c r="B86" s="2400"/>
      <c r="C86" s="2403"/>
      <c r="D86" s="915" t="str">
        <f>IF('0 Úvod'!$M$10="English",Slovnik!$D$227,Slovnik!$C$227)</f>
        <v>Auto, vlak</v>
      </c>
      <c r="E86" s="2016">
        <v>300.23</v>
      </c>
      <c r="F86" s="2004">
        <f>E86*(1+'0 Úvod'!$L$41)*(1+'0 Úvod'!$M$41)*(1+'0 Úvod'!$N$41)*(1+'0 Úvod'!$L$57*$D$146)*(1+'0 Úvod'!$M$57*$D$146)*(1+'0 Úvod'!$N$57*$D$146)</f>
        <v>330.79374588293109</v>
      </c>
      <c r="G86" s="1997"/>
      <c r="J86" s="1999"/>
      <c r="K86" s="2007">
        <v>0.315</v>
      </c>
      <c r="L86" s="2010"/>
      <c r="M86" s="2008"/>
      <c r="N86" s="2012"/>
      <c r="O86" s="1997"/>
    </row>
    <row r="87" spans="2:15" ht="14.25" x14ac:dyDescent="0.3">
      <c r="B87" s="2400"/>
      <c r="C87" s="2402" t="str">
        <f>IF('0 Úvod'!$M$10="English",Slovnik!$D$224,Slovnik!$C$224)</f>
        <v>Ostatní - krátká vzdálenost</v>
      </c>
      <c r="D87" s="915" t="str">
        <f>IF('0 Úvod'!$M$10="English",Slovnik!$D$226,Slovnik!$C$226)</f>
        <v>Bus</v>
      </c>
      <c r="E87" s="2016">
        <v>140.76</v>
      </c>
      <c r="F87" s="2004">
        <f>E87*(1+'0 Úvod'!$L$41)*(1+'0 Úvod'!$M$41)*(1+'0 Úvod'!$N$41)*(1+'0 Úvod'!$L$57*$D$146)*(1+'0 Úvod'!$M$57*$D$146)*(1+'0 Úvod'!$N$57*$D$146)</f>
        <v>155.08952360017773</v>
      </c>
      <c r="G87" s="1997"/>
      <c r="J87" s="2000"/>
      <c r="K87" s="2007"/>
      <c r="L87" s="2008"/>
      <c r="M87" s="2010"/>
      <c r="N87" s="2009"/>
      <c r="O87" s="1997"/>
    </row>
    <row r="88" spans="2:15" ht="14.25" x14ac:dyDescent="0.3">
      <c r="B88" s="2400"/>
      <c r="C88" s="2403"/>
      <c r="D88" s="915" t="str">
        <f>IF('0 Úvod'!$M$10="English",Slovnik!$D$227,Slovnik!$C$227)</f>
        <v>Auto, vlak</v>
      </c>
      <c r="E88" s="2016">
        <v>196.08</v>
      </c>
      <c r="F88" s="2004">
        <f>E88*(1+'0 Úvod'!$L$41)*(1+'0 Úvod'!$M$41)*(1+'0 Úvod'!$N$41)*(1+'0 Úvod'!$L$57*$D$146)*(1+'0 Úvod'!$M$57*$D$146)*(1+'0 Úvod'!$N$57*$D$146)</f>
        <v>216.04116075250681</v>
      </c>
      <c r="G88" s="1997"/>
      <c r="J88" s="823"/>
      <c r="K88" s="2011">
        <v>0.13500000000000001</v>
      </c>
      <c r="L88" s="2008"/>
      <c r="M88" s="2008"/>
      <c r="N88" s="2012"/>
      <c r="O88" s="1997"/>
    </row>
    <row r="89" spans="2:15" ht="14.25" x14ac:dyDescent="0.3">
      <c r="B89" s="2400"/>
      <c r="C89" s="2402" t="str">
        <f>IF('0 Úvod'!$M$10="English",Slovnik!$D$225,Slovnik!$C$225)</f>
        <v>Ostatní - dlouhá vzdálenost</v>
      </c>
      <c r="D89" s="915" t="str">
        <f>IF('0 Úvod'!$M$10="English",Slovnik!$D$226,Slovnik!$C$226)</f>
        <v>Bus</v>
      </c>
      <c r="E89" s="2016">
        <v>181.03</v>
      </c>
      <c r="F89" s="2004">
        <f>E89*(1+'0 Úvod'!$L$41)*(1+'0 Úvod'!$M$41)*(1+'0 Úvod'!$N$41)*(1+'0 Úvod'!$L$57*$D$146)*(1+'0 Úvod'!$M$57*$D$146)*(1+'0 Úvod'!$N$57*$D$146)</f>
        <v>199.45905411580125</v>
      </c>
      <c r="G89" s="1997"/>
      <c r="J89" s="823"/>
      <c r="K89" s="2007"/>
      <c r="L89" s="2008"/>
      <c r="M89" s="2010"/>
      <c r="N89" s="2009"/>
      <c r="O89" s="1997"/>
    </row>
    <row r="90" spans="2:15" ht="15" thickBot="1" x14ac:dyDescent="0.35">
      <c r="B90" s="2401"/>
      <c r="C90" s="2404"/>
      <c r="D90" s="916" t="str">
        <f>IF('0 Úvod'!$M$10="English",Slovnik!$D$227,Slovnik!$C$227)</f>
        <v>Auto, vlak</v>
      </c>
      <c r="E90" s="2017">
        <v>251.41</v>
      </c>
      <c r="F90" s="2004">
        <f>E90*(1+'0 Úvod'!$L$41)*(1+'0 Úvod'!$M$41)*(1+'0 Úvod'!$N$41)*(1+'0 Úvod'!$L$57*$D$146)*(1+'0 Úvod'!$M$57*$D$146)*(1+'0 Úvod'!$N$57*$D$146)</f>
        <v>277.00381591589013</v>
      </c>
      <c r="G90" s="1997"/>
      <c r="J90" s="823"/>
      <c r="K90" s="2013">
        <v>0.13500000000000001</v>
      </c>
      <c r="L90" s="2014"/>
      <c r="M90" s="1995"/>
      <c r="N90" s="2015"/>
      <c r="O90" s="1997"/>
    </row>
    <row r="91" spans="2:15" ht="13.15" customHeight="1" x14ac:dyDescent="0.3">
      <c r="B91" s="2427" t="str">
        <f>IF('0 Úvod'!$M$10="English",Slovnik!$D$230,Slovnik!$C$230)</f>
        <v>Nákladní doprava</v>
      </c>
      <c r="C91" s="2428"/>
      <c r="D91" s="2429"/>
      <c r="E91" s="802" t="str">
        <f>IF('0 Úvod'!$M$10="English",Slovnik!$D$238,Slovnik!$C$238)</f>
        <v>CZK/thod</v>
      </c>
      <c r="F91" s="802" t="str">
        <f>IF('0 Úvod'!$M$10="English",Slovnik!$D$238,Slovnik!$C$238)</f>
        <v>CZK/thod</v>
      </c>
      <c r="G91" s="1997"/>
      <c r="K91" s="2001"/>
      <c r="L91" s="2002"/>
      <c r="M91" s="2002"/>
      <c r="N91" s="2003"/>
    </row>
    <row r="92" spans="2:15" ht="15" thickBot="1" x14ac:dyDescent="0.35">
      <c r="B92" s="2395" t="str">
        <f>IF('0 Úvod'!$M$10="English",Slovnik!$D$231,Slovnik!$C$231)</f>
        <v>Dle dopravního módu</v>
      </c>
      <c r="C92" s="2396"/>
      <c r="D92" s="917" t="str">
        <f>IF('0 Úvod'!$M$10="English",Slovnik!D233,Slovnik!C233)</f>
        <v>Silnice</v>
      </c>
      <c r="E92" s="2016">
        <v>86.66</v>
      </c>
      <c r="F92" s="2004">
        <f>E92*(1+'0 Úvod'!$L$41)*(1+'0 Úvod'!$M$41)*(1+'0 Úvod'!$N$41)*(1+'0 Úvod'!$L$57*$D$145)*(1+'0 Úvod'!$M$57*$D$145)*(1+'0 Úvod'!$N$57*$D$145)</f>
        <v>96.305600365534104</v>
      </c>
      <c r="G92" s="1997"/>
      <c r="K92" s="833">
        <f>SUMPRODUCT($F$81:$F$90,K81:K90)</f>
        <v>318.66311727151702</v>
      </c>
      <c r="L92" s="834">
        <f>SUMPRODUCT($F$81:$F$90,L81:L90)</f>
        <v>0</v>
      </c>
      <c r="M92" s="834">
        <f>SUMPRODUCT($F$81:$F$90,M81:M90)</f>
        <v>0</v>
      </c>
      <c r="N92" s="835">
        <f>SUMPRODUCT($F$81:$F$90,N81:N90)</f>
        <v>0</v>
      </c>
    </row>
    <row r="93" spans="2:15" ht="15" customHeight="1" x14ac:dyDescent="0.3">
      <c r="B93" s="2430"/>
      <c r="C93" s="2431"/>
      <c r="D93" s="610" t="str">
        <f>IF('0 Úvod'!$M$10="English",Slovnik!D234,Slovnik!C234)</f>
        <v>Železnice</v>
      </c>
      <c r="E93" s="2017">
        <v>35.340000000000003</v>
      </c>
      <c r="F93" s="2004">
        <f>E93*(1+'0 Úvod'!$L$41)*(1+'0 Úvod'!$M$41)*(1+'0 Úvod'!$N$41)*(1+'0 Úvod'!$L$57*$D$145)*(1+'0 Úvod'!$M$57*$D$145)*(1+'0 Úvod'!$N$57*$D$145)</f>
        <v>39.273481616870249</v>
      </c>
      <c r="G93" s="1997"/>
    </row>
    <row r="94" spans="2:15" ht="29.25" customHeight="1" x14ac:dyDescent="0.3">
      <c r="B94" s="2395" t="str">
        <f>IF('0 Úvod'!$M$10="English",Slovnik!$D$232,Slovnik!$C$232)</f>
        <v>Dle přepravovaných komodit</v>
      </c>
      <c r="C94" s="2396"/>
      <c r="D94" s="918" t="str">
        <f>IF('0 Úvod'!$M$10="English",Slovnik!D235,Slovnik!C235)</f>
        <v>Nízká přidaná hodnota</v>
      </c>
      <c r="E94" s="2018">
        <v>0.31</v>
      </c>
      <c r="F94" s="2004">
        <f>E94*(1+'0 Úvod'!$L$41)*(1+'0 Úvod'!$M$41)*(1+'0 Úvod'!$N$41)*(1+'0 Úvod'!$L$57*$D$145)*(1+'0 Úvod'!$M$57*$D$145)*(1+'0 Úvod'!$N$57*$D$145)</f>
        <v>0.34450422470938813</v>
      </c>
      <c r="G94" s="1997"/>
    </row>
    <row r="95" spans="2:15" ht="15" customHeight="1" x14ac:dyDescent="0.3">
      <c r="B95" s="2430"/>
      <c r="C95" s="2431"/>
      <c r="D95" s="919" t="str">
        <f>IF('0 Úvod'!$M$10="English",Slovnik!D236,Slovnik!C236)</f>
        <v>Běžný náklad</v>
      </c>
      <c r="E95" s="2019">
        <v>6.13</v>
      </c>
      <c r="F95" s="2004">
        <f>E95*(1+'0 Úvod'!$L$41)*(1+'0 Úvod'!$M$41)*(1+'0 Úvod'!$N$41)*(1+'0 Úvod'!$L$57*$D$145)*(1+'0 Úvod'!$M$57*$D$145)*(1+'0 Úvod'!$N$57*$D$145)</f>
        <v>6.8122932176404811</v>
      </c>
      <c r="G95" s="1997"/>
    </row>
    <row r="96" spans="2:15" ht="45" customHeight="1" thickBot="1" x14ac:dyDescent="0.35">
      <c r="B96" s="2432"/>
      <c r="C96" s="2433"/>
      <c r="D96" s="920" t="str">
        <f>IF('0 Úvod'!$M$10="English",Slovnik!D237,Slovnik!C237)</f>
        <v>Vysoká přidaná hodnota</v>
      </c>
      <c r="E96" s="827">
        <v>18.39</v>
      </c>
      <c r="F96" s="2004">
        <f>E96*(1+'0 Úvod'!$L$41)*(1+'0 Úvod'!$M$41)*(1+'0 Úvod'!$N$41)*(1+'0 Úvod'!$L$57*$D$145)*(1+'0 Úvod'!$M$57*$D$145)*(1+'0 Úvod'!$N$57*$D$145)</f>
        <v>20.436879652921448</v>
      </c>
      <c r="G96" s="1997"/>
    </row>
    <row r="97" spans="2:29" ht="15" customHeight="1" x14ac:dyDescent="0.3">
      <c r="B97" s="803" t="str">
        <f>IF('0 Úvod'!$M$10="English",Slovnik!$E$237,Slovnik!$E$236)</f>
        <v>Zdroj: "HEATCO" a „Rezortní metodika pro hodnocení ekonomické efektivnosti projektů dopravních staveb", 2017</v>
      </c>
      <c r="C97" s="804"/>
      <c r="D97" s="804"/>
      <c r="E97" s="804"/>
      <c r="F97" s="2020"/>
    </row>
    <row r="99" spans="2:29" ht="14.25" thickBot="1" x14ac:dyDescent="0.35"/>
    <row r="100" spans="2:29" ht="14.25" x14ac:dyDescent="0.3">
      <c r="B100" s="597" t="s">
        <v>144</v>
      </c>
      <c r="C100" s="897" t="str">
        <f>IF('0 Úvod'!$M$10="English",Slovnik!$D$244,Slovnik!$C$244)</f>
        <v>Celkové oshod</v>
      </c>
      <c r="D100" s="898"/>
      <c r="E100" s="2363">
        <f>E2</f>
        <v>2021</v>
      </c>
      <c r="F100" s="2361">
        <f t="shared" ref="F100:S100" si="27">E100+1</f>
        <v>2022</v>
      </c>
      <c r="G100" s="2361">
        <f t="shared" si="27"/>
        <v>2023</v>
      </c>
      <c r="H100" s="2361">
        <f t="shared" si="27"/>
        <v>2024</v>
      </c>
      <c r="I100" s="2361">
        <f t="shared" si="27"/>
        <v>2025</v>
      </c>
      <c r="J100" s="2361">
        <f t="shared" si="27"/>
        <v>2026</v>
      </c>
      <c r="K100" s="2361">
        <f t="shared" si="27"/>
        <v>2027</v>
      </c>
      <c r="L100" s="2361">
        <f t="shared" si="27"/>
        <v>2028</v>
      </c>
      <c r="M100" s="2361">
        <f t="shared" si="27"/>
        <v>2029</v>
      </c>
      <c r="N100" s="2361">
        <f t="shared" si="27"/>
        <v>2030</v>
      </c>
      <c r="O100" s="2361">
        <f t="shared" si="27"/>
        <v>2031</v>
      </c>
      <c r="P100" s="2361">
        <f t="shared" si="27"/>
        <v>2032</v>
      </c>
      <c r="Q100" s="2361">
        <f t="shared" si="27"/>
        <v>2033</v>
      </c>
      <c r="R100" s="2361">
        <f t="shared" si="27"/>
        <v>2034</v>
      </c>
      <c r="S100" s="2365">
        <f t="shared" si="27"/>
        <v>2035</v>
      </c>
      <c r="T100" s="669"/>
      <c r="U100" s="669"/>
      <c r="V100" s="669"/>
      <c r="W100" s="669"/>
      <c r="X100" s="669"/>
      <c r="Y100" s="669"/>
      <c r="Z100" s="669"/>
      <c r="AA100" s="669"/>
      <c r="AB100" s="669"/>
      <c r="AC100" s="669"/>
    </row>
    <row r="101" spans="2:29" ht="15" thickBot="1" x14ac:dyDescent="0.35">
      <c r="B101" s="694" t="s">
        <v>23</v>
      </c>
      <c r="C101" s="840"/>
      <c r="D101" s="696" t="str">
        <f>IF('0 Úvod'!$M$10="English",Slovnik!$D$194,Slovnik!$C$194)</f>
        <v>Celkem</v>
      </c>
      <c r="E101" s="2364"/>
      <c r="F101" s="2362"/>
      <c r="G101" s="2362"/>
      <c r="H101" s="2362"/>
      <c r="I101" s="2362"/>
      <c r="J101" s="2362"/>
      <c r="K101" s="2362"/>
      <c r="L101" s="2362"/>
      <c r="M101" s="2362"/>
      <c r="N101" s="2362"/>
      <c r="O101" s="2362"/>
      <c r="P101" s="2362"/>
      <c r="Q101" s="2362"/>
      <c r="R101" s="2362"/>
      <c r="S101" s="2366"/>
      <c r="T101" s="669"/>
      <c r="U101" s="669"/>
      <c r="V101" s="669"/>
      <c r="W101" s="669"/>
      <c r="X101" s="669"/>
      <c r="Y101" s="669"/>
      <c r="Z101" s="669"/>
      <c r="AA101" s="669"/>
      <c r="AB101" s="669"/>
      <c r="AC101" s="669"/>
    </row>
    <row r="102" spans="2:29" ht="14.25" x14ac:dyDescent="0.3">
      <c r="B102" s="2407" t="str">
        <f>IF('0 Úvod'!$M$10="English",Slovnik!$D$245,Slovnik!$C$245)</f>
        <v>Železniční doprava</v>
      </c>
      <c r="C102" s="607" t="str">
        <f>IF('0 Úvod'!$M$10="English",Slovnik!D248,Slovnik!C248)</f>
        <v>Osobní - příměstská</v>
      </c>
      <c r="D102" s="923">
        <f>SUM(E102:S102,E112:S112)</f>
        <v>1545080.7875651743</v>
      </c>
      <c r="E102" s="806"/>
      <c r="F102" s="806"/>
      <c r="G102" s="806">
        <v>261183.50227612161</v>
      </c>
      <c r="H102" s="806">
        <v>43110.664601629687</v>
      </c>
      <c r="I102" s="806">
        <v>43597.559658470011</v>
      </c>
      <c r="J102" s="806">
        <v>44008.964947273649</v>
      </c>
      <c r="K102" s="806">
        <v>44424.25243299338</v>
      </c>
      <c r="L102" s="806">
        <v>44843.458749705875</v>
      </c>
      <c r="M102" s="806">
        <v>45266.620877182715</v>
      </c>
      <c r="N102" s="806">
        <v>45693.776144152442</v>
      </c>
      <c r="O102" s="806">
        <v>45987.197036739781</v>
      </c>
      <c r="P102" s="806">
        <v>46282.502120730693</v>
      </c>
      <c r="Q102" s="806">
        <v>46579.703495390524</v>
      </c>
      <c r="R102" s="806">
        <v>46878.81333767964</v>
      </c>
      <c r="S102" s="806">
        <v>47179.843902752305</v>
      </c>
      <c r="T102" s="2025"/>
      <c r="U102" s="587"/>
      <c r="V102" s="587"/>
      <c r="W102" s="587"/>
      <c r="X102" s="587"/>
      <c r="Y102" s="587"/>
      <c r="Z102" s="587"/>
      <c r="AA102" s="587"/>
      <c r="AB102" s="587"/>
      <c r="AC102" s="590"/>
    </row>
    <row r="103" spans="2:29" ht="14.25" x14ac:dyDescent="0.3">
      <c r="B103" s="2386"/>
      <c r="C103" s="911" t="str">
        <f>IF('0 Úvod'!$M$10="English",Slovnik!D249,Slovnik!C249)</f>
        <v>Osobní - dálková</v>
      </c>
      <c r="D103" s="924">
        <f t="shared" ref="D103:D108" si="28">SUM(E103:S103,E113:S113)</f>
        <v>0</v>
      </c>
      <c r="E103" s="2021"/>
      <c r="F103" s="2021"/>
      <c r="G103" s="2021"/>
      <c r="H103" s="2021"/>
      <c r="I103" s="2021"/>
      <c r="J103" s="2021"/>
      <c r="K103" s="2021"/>
      <c r="L103" s="2021"/>
      <c r="M103" s="2021"/>
      <c r="N103" s="2021"/>
      <c r="O103" s="2021"/>
      <c r="P103" s="2021"/>
      <c r="Q103" s="2021"/>
      <c r="R103" s="2021"/>
      <c r="S103" s="2021"/>
      <c r="T103" s="2025"/>
      <c r="U103" s="587"/>
      <c r="V103" s="587"/>
      <c r="W103" s="587"/>
      <c r="X103" s="587"/>
      <c r="Y103" s="587"/>
      <c r="Z103" s="587"/>
      <c r="AA103" s="587"/>
      <c r="AB103" s="587"/>
      <c r="AC103" s="590"/>
    </row>
    <row r="104" spans="2:29" ht="14.25" x14ac:dyDescent="0.3">
      <c r="B104" s="2408" t="str">
        <f>IF('0 Úvod'!$M$10="English",Slovnik!$D$246,Slovnik!$C$246)</f>
        <v>Indukov. doprava</v>
      </c>
      <c r="C104" s="607" t="str">
        <f>IF('0 Úvod'!$M$10="English",Slovnik!D250,Slovnik!C250)</f>
        <v>Osobní - příměstská</v>
      </c>
      <c r="D104" s="2026">
        <f t="shared" si="28"/>
        <v>0</v>
      </c>
      <c r="E104" s="2022"/>
      <c r="F104" s="2022"/>
      <c r="G104" s="2022"/>
      <c r="H104" s="2022"/>
      <c r="I104" s="2022"/>
      <c r="J104" s="2022"/>
      <c r="K104" s="2022"/>
      <c r="L104" s="2022"/>
      <c r="M104" s="2022"/>
      <c r="N104" s="2022"/>
      <c r="O104" s="2022"/>
      <c r="P104" s="2022"/>
      <c r="Q104" s="2022"/>
      <c r="R104" s="2022"/>
      <c r="S104" s="2022"/>
      <c r="T104" s="2025"/>
      <c r="U104" s="587"/>
      <c r="V104" s="587"/>
      <c r="W104" s="587"/>
      <c r="X104" s="587"/>
      <c r="Y104" s="587"/>
      <c r="Z104" s="587"/>
      <c r="AA104" s="587"/>
      <c r="AB104" s="587"/>
      <c r="AC104" s="590"/>
    </row>
    <row r="105" spans="2:29" ht="14.25" x14ac:dyDescent="0.3">
      <c r="B105" s="2386"/>
      <c r="C105" s="911" t="str">
        <f>IF('0 Úvod'!$M$10="English",Slovnik!D251,Slovnik!C251)</f>
        <v>Osobní - dálková</v>
      </c>
      <c r="D105" s="924">
        <f t="shared" si="28"/>
        <v>0</v>
      </c>
      <c r="E105" s="2021"/>
      <c r="F105" s="2021"/>
      <c r="G105" s="2021"/>
      <c r="H105" s="2021"/>
      <c r="I105" s="2021"/>
      <c r="J105" s="2021"/>
      <c r="K105" s="2021"/>
      <c r="L105" s="2021"/>
      <c r="M105" s="2021"/>
      <c r="N105" s="2021"/>
      <c r="O105" s="2021"/>
      <c r="P105" s="2021"/>
      <c r="Q105" s="2021"/>
      <c r="R105" s="2021"/>
      <c r="S105" s="2021"/>
      <c r="T105" s="2025"/>
      <c r="U105" s="587"/>
      <c r="V105" s="587"/>
      <c r="W105" s="587"/>
      <c r="X105" s="587"/>
      <c r="Y105" s="587"/>
      <c r="Z105" s="587"/>
      <c r="AA105" s="587"/>
      <c r="AB105" s="587"/>
      <c r="AC105" s="587"/>
    </row>
    <row r="106" spans="2:29" ht="14.25" x14ac:dyDescent="0.3">
      <c r="B106" s="2385" t="str">
        <f>IF('0 Úvod'!$M$10="English",Slovnik!$D$247,Slovnik!$C$247)</f>
        <v>Převed. doprava</v>
      </c>
      <c r="C106" s="805" t="str">
        <f>IF('0 Úvod'!$M$10="English",Slovnik!D252,Slovnik!C252)</f>
        <v>BUS</v>
      </c>
      <c r="D106" s="2026">
        <f t="shared" si="28"/>
        <v>0</v>
      </c>
      <c r="E106" s="806"/>
      <c r="F106" s="806"/>
      <c r="G106" s="806"/>
      <c r="H106" s="806"/>
      <c r="I106" s="806"/>
      <c r="J106" s="806"/>
      <c r="K106" s="806"/>
      <c r="L106" s="806"/>
      <c r="M106" s="806"/>
      <c r="N106" s="806"/>
      <c r="O106" s="806"/>
      <c r="P106" s="806"/>
      <c r="Q106" s="806"/>
      <c r="R106" s="806"/>
      <c r="S106" s="806"/>
      <c r="T106" s="2025"/>
      <c r="U106" s="587"/>
      <c r="V106" s="587"/>
      <c r="W106" s="587"/>
      <c r="X106" s="587"/>
      <c r="Y106" s="587"/>
      <c r="Z106" s="587"/>
      <c r="AA106" s="587"/>
      <c r="AB106" s="587"/>
      <c r="AC106" s="587"/>
    </row>
    <row r="107" spans="2:29" ht="14.25" x14ac:dyDescent="0.3">
      <c r="B107" s="2386"/>
      <c r="C107" s="805" t="str">
        <f>IF('0 Úvod'!$M$10="English",Slovnik!D253,Slovnik!C253)</f>
        <v>IAD</v>
      </c>
      <c r="D107" s="2027">
        <f t="shared" si="28"/>
        <v>0</v>
      </c>
      <c r="E107" s="806"/>
      <c r="F107" s="806"/>
      <c r="G107" s="806"/>
      <c r="H107" s="806"/>
      <c r="I107" s="806"/>
      <c r="J107" s="806"/>
      <c r="K107" s="806"/>
      <c r="L107" s="806"/>
      <c r="M107" s="806"/>
      <c r="N107" s="806"/>
      <c r="O107" s="806"/>
      <c r="P107" s="806"/>
      <c r="Q107" s="806"/>
      <c r="R107" s="806"/>
      <c r="S107" s="806"/>
      <c r="T107" s="2025"/>
      <c r="U107" s="587"/>
      <c r="V107" s="587"/>
      <c r="W107" s="587"/>
      <c r="X107" s="587"/>
      <c r="Y107" s="587"/>
      <c r="Z107" s="587"/>
      <c r="AA107" s="587"/>
      <c r="AB107" s="587"/>
      <c r="AC107" s="587"/>
    </row>
    <row r="108" spans="2:29" ht="15" thickBot="1" x14ac:dyDescent="0.35">
      <c r="B108" s="627"/>
      <c r="C108" s="900" t="str">
        <f>IF('0 Úvod'!$M$10="English",Slovnik!$D$244,Slovnik!$C$244)</f>
        <v>Celkové oshod</v>
      </c>
      <c r="D108" s="901">
        <f t="shared" si="28"/>
        <v>1545080.7875651743</v>
      </c>
      <c r="E108" s="902">
        <f t="shared" ref="E108:S108" si="29">SUM(E102:E107)</f>
        <v>0</v>
      </c>
      <c r="F108" s="2029">
        <f t="shared" si="29"/>
        <v>0</v>
      </c>
      <c r="G108" s="2029">
        <f t="shared" si="29"/>
        <v>261183.50227612161</v>
      </c>
      <c r="H108" s="2029">
        <f t="shared" si="29"/>
        <v>43110.664601629687</v>
      </c>
      <c r="I108" s="2029">
        <f t="shared" si="29"/>
        <v>43597.559658470011</v>
      </c>
      <c r="J108" s="2029">
        <f t="shared" si="29"/>
        <v>44008.964947273649</v>
      </c>
      <c r="K108" s="2029">
        <f t="shared" si="29"/>
        <v>44424.25243299338</v>
      </c>
      <c r="L108" s="2029">
        <f t="shared" si="29"/>
        <v>44843.458749705875</v>
      </c>
      <c r="M108" s="2029">
        <f t="shared" si="29"/>
        <v>45266.620877182715</v>
      </c>
      <c r="N108" s="2029">
        <f t="shared" si="29"/>
        <v>45693.776144152442</v>
      </c>
      <c r="O108" s="2029">
        <f t="shared" si="29"/>
        <v>45987.197036739781</v>
      </c>
      <c r="P108" s="2029">
        <f t="shared" si="29"/>
        <v>46282.502120730693</v>
      </c>
      <c r="Q108" s="2029">
        <f t="shared" si="29"/>
        <v>46579.703495390524</v>
      </c>
      <c r="R108" s="2029">
        <f t="shared" si="29"/>
        <v>46878.81333767964</v>
      </c>
      <c r="S108" s="2030">
        <f t="shared" si="29"/>
        <v>47179.843902752305</v>
      </c>
      <c r="T108" s="593"/>
      <c r="U108" s="593"/>
      <c r="V108" s="593"/>
      <c r="W108" s="593"/>
      <c r="X108" s="593"/>
      <c r="Y108" s="593"/>
      <c r="Z108" s="593"/>
      <c r="AA108" s="593"/>
      <c r="AB108" s="593"/>
      <c r="AC108" s="593"/>
    </row>
    <row r="109" spans="2:29" ht="14.25" thickBot="1" x14ac:dyDescent="0.35">
      <c r="B109" s="671"/>
      <c r="C109" s="666"/>
      <c r="D109" s="590"/>
      <c r="E109" s="673"/>
      <c r="F109" s="673"/>
      <c r="G109" s="673"/>
      <c r="H109" s="673"/>
      <c r="I109" s="673"/>
      <c r="J109" s="673"/>
      <c r="K109" s="673"/>
      <c r="L109" s="673"/>
      <c r="M109" s="673"/>
      <c r="N109" s="673"/>
      <c r="O109" s="673"/>
      <c r="P109" s="673"/>
      <c r="Q109" s="673"/>
      <c r="R109" s="673"/>
      <c r="S109" s="673"/>
      <c r="T109" s="590"/>
      <c r="U109" s="590"/>
      <c r="V109" s="590"/>
      <c r="W109" s="590"/>
      <c r="X109" s="590"/>
      <c r="Y109" s="590"/>
      <c r="Z109" s="590"/>
      <c r="AA109" s="590"/>
      <c r="AB109" s="590"/>
      <c r="AC109" s="590"/>
    </row>
    <row r="110" spans="2:29" ht="14.25" x14ac:dyDescent="0.3">
      <c r="B110" s="597" t="str">
        <f>B100</f>
        <v>5.6.</v>
      </c>
      <c r="C110" s="839" t="str">
        <f>C100</f>
        <v>Celkové oshod</v>
      </c>
      <c r="D110" s="899"/>
      <c r="E110" s="2363">
        <f>S100+1</f>
        <v>2036</v>
      </c>
      <c r="F110" s="2361">
        <f t="shared" ref="F110:S110" si="30">E110+1</f>
        <v>2037</v>
      </c>
      <c r="G110" s="2361">
        <f t="shared" si="30"/>
        <v>2038</v>
      </c>
      <c r="H110" s="2361">
        <f t="shared" si="30"/>
        <v>2039</v>
      </c>
      <c r="I110" s="2361">
        <f t="shared" si="30"/>
        <v>2040</v>
      </c>
      <c r="J110" s="2361">
        <f t="shared" si="30"/>
        <v>2041</v>
      </c>
      <c r="K110" s="2361">
        <f t="shared" si="30"/>
        <v>2042</v>
      </c>
      <c r="L110" s="2361">
        <f t="shared" si="30"/>
        <v>2043</v>
      </c>
      <c r="M110" s="2361">
        <f t="shared" si="30"/>
        <v>2044</v>
      </c>
      <c r="N110" s="2361">
        <f t="shared" si="30"/>
        <v>2045</v>
      </c>
      <c r="O110" s="2361">
        <f t="shared" si="30"/>
        <v>2046</v>
      </c>
      <c r="P110" s="2361">
        <f t="shared" si="30"/>
        <v>2047</v>
      </c>
      <c r="Q110" s="2361">
        <f t="shared" si="30"/>
        <v>2048</v>
      </c>
      <c r="R110" s="2361">
        <f t="shared" si="30"/>
        <v>2049</v>
      </c>
      <c r="S110" s="2365">
        <f t="shared" si="30"/>
        <v>2050</v>
      </c>
      <c r="T110" s="669"/>
      <c r="U110" s="669"/>
      <c r="V110" s="669"/>
      <c r="W110" s="669"/>
      <c r="X110" s="669"/>
      <c r="Y110" s="669"/>
      <c r="Z110" s="669"/>
      <c r="AA110" s="669"/>
      <c r="AB110" s="669"/>
      <c r="AC110" s="669"/>
    </row>
    <row r="111" spans="2:29" ht="15" thickBot="1" x14ac:dyDescent="0.35">
      <c r="B111" s="694" t="s">
        <v>24</v>
      </c>
      <c r="C111" s="840"/>
      <c r="D111" s="697"/>
      <c r="E111" s="2364"/>
      <c r="F111" s="2362"/>
      <c r="G111" s="2362"/>
      <c r="H111" s="2362"/>
      <c r="I111" s="2362"/>
      <c r="J111" s="2362"/>
      <c r="K111" s="2362"/>
      <c r="L111" s="2362"/>
      <c r="M111" s="2362"/>
      <c r="N111" s="2362"/>
      <c r="O111" s="2362"/>
      <c r="P111" s="2362"/>
      <c r="Q111" s="2362"/>
      <c r="R111" s="2362"/>
      <c r="S111" s="2366"/>
      <c r="T111" s="669"/>
      <c r="U111" s="669"/>
      <c r="V111" s="669"/>
      <c r="W111" s="669"/>
      <c r="X111" s="669"/>
      <c r="Y111" s="669"/>
      <c r="Z111" s="669"/>
      <c r="AA111" s="669"/>
      <c r="AB111" s="669"/>
      <c r="AC111" s="669"/>
    </row>
    <row r="112" spans="2:29" ht="14.25" x14ac:dyDescent="0.3">
      <c r="B112" s="2407" t="str">
        <f>B102</f>
        <v>Železniční doprava</v>
      </c>
      <c r="C112" s="607" t="str">
        <f>C102</f>
        <v>Osobní - příměstská</v>
      </c>
      <c r="D112" s="912"/>
      <c r="E112" s="784">
        <v>47451.452697524997</v>
      </c>
      <c r="F112" s="784">
        <v>47724.625112083071</v>
      </c>
      <c r="G112" s="784">
        <v>47999.370148001159</v>
      </c>
      <c r="H112" s="784">
        <v>48275.696858674884</v>
      </c>
      <c r="I112" s="784">
        <v>48553.61434961918</v>
      </c>
      <c r="J112" s="784">
        <v>48813.591060267885</v>
      </c>
      <c r="K112" s="784">
        <v>49074.959796844749</v>
      </c>
      <c r="L112" s="784">
        <v>49337.728012848871</v>
      </c>
      <c r="M112" s="784">
        <v>49601.903201688598</v>
      </c>
      <c r="N112" s="784">
        <v>49867.492896895121</v>
      </c>
      <c r="O112" s="784">
        <v>50132.673799383643</v>
      </c>
      <c r="P112" s="784">
        <v>50399.264857205024</v>
      </c>
      <c r="Q112" s="784">
        <v>50667.27356915742</v>
      </c>
      <c r="R112" s="784">
        <v>50936.707473915412</v>
      </c>
      <c r="S112" s="784">
        <v>51207.574150242101</v>
      </c>
      <c r="T112" s="1981"/>
      <c r="U112" s="590"/>
      <c r="V112" s="590"/>
      <c r="W112" s="590"/>
      <c r="X112" s="590"/>
      <c r="Y112" s="590"/>
      <c r="Z112" s="590"/>
      <c r="AA112" s="590"/>
      <c r="AB112" s="590"/>
      <c r="AC112" s="590"/>
    </row>
    <row r="113" spans="2:29" ht="14.25" x14ac:dyDescent="0.3">
      <c r="B113" s="2385"/>
      <c r="C113" s="607" t="str">
        <f t="shared" ref="C113:C118" si="31">C103</f>
        <v>Osobní - dálková</v>
      </c>
      <c r="D113" s="913"/>
      <c r="E113" s="784"/>
      <c r="F113" s="784"/>
      <c r="G113" s="784"/>
      <c r="H113" s="784"/>
      <c r="I113" s="784"/>
      <c r="J113" s="784"/>
      <c r="K113" s="784"/>
      <c r="L113" s="784"/>
      <c r="M113" s="784"/>
      <c r="N113" s="784"/>
      <c r="O113" s="784"/>
      <c r="P113" s="784"/>
      <c r="Q113" s="784"/>
      <c r="R113" s="784"/>
      <c r="S113" s="784"/>
      <c r="T113" s="1981"/>
      <c r="U113" s="590"/>
      <c r="V113" s="590"/>
      <c r="W113" s="590"/>
      <c r="X113" s="590"/>
      <c r="Y113" s="590"/>
      <c r="Z113" s="590"/>
      <c r="AA113" s="590"/>
      <c r="AB113" s="590"/>
      <c r="AC113" s="590"/>
    </row>
    <row r="114" spans="2:29" ht="14.25" x14ac:dyDescent="0.3">
      <c r="B114" s="2408" t="str">
        <f>B104</f>
        <v>Indukov. doprava</v>
      </c>
      <c r="C114" s="914" t="str">
        <f t="shared" si="31"/>
        <v>Osobní - příměstská</v>
      </c>
      <c r="D114" s="2028"/>
      <c r="E114" s="2023"/>
      <c r="F114" s="2023"/>
      <c r="G114" s="2023"/>
      <c r="H114" s="2023"/>
      <c r="I114" s="2023"/>
      <c r="J114" s="2023"/>
      <c r="K114" s="2023"/>
      <c r="L114" s="2023"/>
      <c r="M114" s="2023"/>
      <c r="N114" s="2023"/>
      <c r="O114" s="2023"/>
      <c r="P114" s="2023"/>
      <c r="Q114" s="2023"/>
      <c r="R114" s="2023"/>
      <c r="S114" s="2023"/>
      <c r="T114" s="1981"/>
      <c r="U114" s="590"/>
      <c r="V114" s="590"/>
      <c r="W114" s="590"/>
      <c r="X114" s="590"/>
      <c r="Y114" s="590"/>
      <c r="Z114" s="590"/>
      <c r="AA114" s="590"/>
      <c r="AB114" s="590"/>
      <c r="AC114" s="590"/>
    </row>
    <row r="115" spans="2:29" ht="14.25" x14ac:dyDescent="0.3">
      <c r="B115" s="2386"/>
      <c r="C115" s="864" t="str">
        <f t="shared" si="31"/>
        <v>Osobní - dálková</v>
      </c>
      <c r="D115" s="1247"/>
      <c r="E115" s="2024"/>
      <c r="F115" s="2024"/>
      <c r="G115" s="2024"/>
      <c r="H115" s="2024"/>
      <c r="I115" s="2024"/>
      <c r="J115" s="2024"/>
      <c r="K115" s="2024"/>
      <c r="L115" s="2024"/>
      <c r="M115" s="2024"/>
      <c r="N115" s="2024"/>
      <c r="O115" s="2024"/>
      <c r="P115" s="2024"/>
      <c r="Q115" s="2024"/>
      <c r="R115" s="2024"/>
      <c r="S115" s="2024"/>
      <c r="T115" s="1981"/>
      <c r="U115" s="590"/>
      <c r="V115" s="590"/>
      <c r="W115" s="590"/>
      <c r="X115" s="590"/>
      <c r="Y115" s="590"/>
      <c r="Z115" s="590"/>
      <c r="AA115" s="590"/>
      <c r="AB115" s="590"/>
      <c r="AC115" s="590"/>
    </row>
    <row r="116" spans="2:29" ht="14.25" x14ac:dyDescent="0.3">
      <c r="B116" s="2408" t="str">
        <f>B106</f>
        <v>Převed. doprava</v>
      </c>
      <c r="C116" s="914" t="str">
        <f t="shared" si="31"/>
        <v>BUS</v>
      </c>
      <c r="D116" s="2028"/>
      <c r="E116" s="2023"/>
      <c r="F116" s="2023"/>
      <c r="G116" s="2023"/>
      <c r="H116" s="2023"/>
      <c r="I116" s="2023"/>
      <c r="J116" s="2023"/>
      <c r="K116" s="2023"/>
      <c r="L116" s="2023"/>
      <c r="M116" s="2023"/>
      <c r="N116" s="2023"/>
      <c r="O116" s="2023"/>
      <c r="P116" s="2023"/>
      <c r="Q116" s="2023"/>
      <c r="R116" s="2023"/>
      <c r="S116" s="2023"/>
      <c r="T116" s="1981"/>
      <c r="U116" s="590"/>
      <c r="V116" s="590"/>
      <c r="W116" s="590"/>
      <c r="X116" s="590"/>
      <c r="Y116" s="590"/>
      <c r="Z116" s="590"/>
      <c r="AA116" s="590"/>
      <c r="AB116" s="590"/>
      <c r="AC116" s="590"/>
    </row>
    <row r="117" spans="2:29" ht="14.25" x14ac:dyDescent="0.3">
      <c r="B117" s="2386"/>
      <c r="C117" s="864" t="str">
        <f t="shared" si="31"/>
        <v>IAD</v>
      </c>
      <c r="D117" s="1240"/>
      <c r="E117" s="784"/>
      <c r="F117" s="784"/>
      <c r="G117" s="784"/>
      <c r="H117" s="784"/>
      <c r="I117" s="784"/>
      <c r="J117" s="784"/>
      <c r="K117" s="784"/>
      <c r="L117" s="784"/>
      <c r="M117" s="784"/>
      <c r="N117" s="784"/>
      <c r="O117" s="784"/>
      <c r="P117" s="784"/>
      <c r="Q117" s="784"/>
      <c r="R117" s="784"/>
      <c r="S117" s="784"/>
      <c r="T117" s="1981"/>
      <c r="U117" s="590"/>
      <c r="V117" s="590"/>
      <c r="W117" s="590"/>
      <c r="X117" s="590"/>
      <c r="Y117" s="590"/>
      <c r="Z117" s="590"/>
      <c r="AA117" s="590"/>
      <c r="AB117" s="590"/>
      <c r="AC117" s="590"/>
    </row>
    <row r="118" spans="2:29" ht="15" thickBot="1" x14ac:dyDescent="0.35">
      <c r="B118" s="768"/>
      <c r="C118" s="841" t="str">
        <f t="shared" si="31"/>
        <v>Celkové oshod</v>
      </c>
      <c r="D118" s="770"/>
      <c r="E118" s="2031">
        <f t="shared" ref="E118:S118" si="32">SUM(E112:E117)</f>
        <v>47451.452697524997</v>
      </c>
      <c r="F118" s="2032">
        <f t="shared" si="32"/>
        <v>47724.625112083071</v>
      </c>
      <c r="G118" s="2032">
        <f t="shared" si="32"/>
        <v>47999.370148001159</v>
      </c>
      <c r="H118" s="2032">
        <f t="shared" si="32"/>
        <v>48275.696858674884</v>
      </c>
      <c r="I118" s="2032">
        <f t="shared" si="32"/>
        <v>48553.61434961918</v>
      </c>
      <c r="J118" s="2032">
        <f t="shared" si="32"/>
        <v>48813.591060267885</v>
      </c>
      <c r="K118" s="2032">
        <f t="shared" si="32"/>
        <v>49074.959796844749</v>
      </c>
      <c r="L118" s="2032">
        <f t="shared" si="32"/>
        <v>49337.728012848871</v>
      </c>
      <c r="M118" s="2032">
        <f t="shared" si="32"/>
        <v>49601.903201688598</v>
      </c>
      <c r="N118" s="2032">
        <f t="shared" si="32"/>
        <v>49867.492896895121</v>
      </c>
      <c r="O118" s="2032">
        <f t="shared" si="32"/>
        <v>50132.673799383643</v>
      </c>
      <c r="P118" s="2032">
        <f t="shared" si="32"/>
        <v>50399.264857205024</v>
      </c>
      <c r="Q118" s="2032">
        <f t="shared" si="32"/>
        <v>50667.27356915742</v>
      </c>
      <c r="R118" s="2032">
        <f t="shared" si="32"/>
        <v>50936.707473915412</v>
      </c>
      <c r="S118" s="2033">
        <f t="shared" si="32"/>
        <v>51207.574150242101</v>
      </c>
      <c r="T118" s="679"/>
      <c r="U118" s="679"/>
      <c r="V118" s="679"/>
      <c r="W118" s="679"/>
      <c r="X118" s="679"/>
      <c r="Y118" s="679"/>
      <c r="Z118" s="679"/>
      <c r="AA118" s="679"/>
      <c r="AB118" s="679"/>
      <c r="AC118" s="679"/>
    </row>
    <row r="119" spans="2:29" x14ac:dyDescent="0.3">
      <c r="T119" s="666"/>
      <c r="U119" s="666"/>
      <c r="V119" s="666"/>
      <c r="W119" s="666"/>
      <c r="X119" s="666"/>
      <c r="Y119" s="666"/>
      <c r="Z119" s="666"/>
      <c r="AA119" s="666"/>
      <c r="AB119" s="666"/>
      <c r="AC119" s="666"/>
    </row>
    <row r="120" spans="2:29" ht="14.25" thickBot="1" x14ac:dyDescent="0.35">
      <c r="T120" s="666"/>
      <c r="U120" s="666"/>
      <c r="V120" s="666"/>
      <c r="W120" s="666"/>
      <c r="X120" s="666"/>
      <c r="Y120" s="666"/>
      <c r="Z120" s="666"/>
      <c r="AA120" s="666"/>
      <c r="AB120" s="666"/>
      <c r="AC120" s="666"/>
    </row>
    <row r="121" spans="2:29" ht="14.25" x14ac:dyDescent="0.3">
      <c r="B121" s="597" t="s">
        <v>145</v>
      </c>
      <c r="C121" s="897" t="str">
        <f>IF('0 Úvod'!$M$10="English",Slovnik!$D$254,Slovnik!$C$254)</f>
        <v>Celkové thod</v>
      </c>
      <c r="D121" s="898"/>
      <c r="E121" s="2363">
        <f>E2</f>
        <v>2021</v>
      </c>
      <c r="F121" s="2361">
        <f t="shared" ref="F121:S121" si="33">E121+1</f>
        <v>2022</v>
      </c>
      <c r="G121" s="2361">
        <f t="shared" si="33"/>
        <v>2023</v>
      </c>
      <c r="H121" s="2361">
        <f t="shared" si="33"/>
        <v>2024</v>
      </c>
      <c r="I121" s="2361">
        <f t="shared" si="33"/>
        <v>2025</v>
      </c>
      <c r="J121" s="2361">
        <f t="shared" si="33"/>
        <v>2026</v>
      </c>
      <c r="K121" s="2361">
        <f t="shared" si="33"/>
        <v>2027</v>
      </c>
      <c r="L121" s="2361">
        <f t="shared" si="33"/>
        <v>2028</v>
      </c>
      <c r="M121" s="2361">
        <f t="shared" si="33"/>
        <v>2029</v>
      </c>
      <c r="N121" s="2361">
        <f t="shared" si="33"/>
        <v>2030</v>
      </c>
      <c r="O121" s="2361">
        <f t="shared" si="33"/>
        <v>2031</v>
      </c>
      <c r="P121" s="2361">
        <f t="shared" si="33"/>
        <v>2032</v>
      </c>
      <c r="Q121" s="2361">
        <f t="shared" si="33"/>
        <v>2033</v>
      </c>
      <c r="R121" s="2361">
        <f t="shared" si="33"/>
        <v>2034</v>
      </c>
      <c r="S121" s="2365">
        <f t="shared" si="33"/>
        <v>2035</v>
      </c>
      <c r="T121" s="669"/>
      <c r="U121" s="669"/>
      <c r="V121" s="669"/>
      <c r="W121" s="669"/>
      <c r="X121" s="669"/>
      <c r="Y121" s="669"/>
      <c r="Z121" s="669"/>
      <c r="AA121" s="669"/>
      <c r="AB121" s="669"/>
      <c r="AC121" s="669"/>
    </row>
    <row r="122" spans="2:29" ht="15" thickBot="1" x14ac:dyDescent="0.35">
      <c r="B122" s="694" t="s">
        <v>23</v>
      </c>
      <c r="C122" s="840"/>
      <c r="D122" s="696" t="str">
        <f>D101</f>
        <v>Celkem</v>
      </c>
      <c r="E122" s="2364"/>
      <c r="F122" s="2362"/>
      <c r="G122" s="2362"/>
      <c r="H122" s="2362"/>
      <c r="I122" s="2362"/>
      <c r="J122" s="2362"/>
      <c r="K122" s="2362"/>
      <c r="L122" s="2362"/>
      <c r="M122" s="2362"/>
      <c r="N122" s="2362"/>
      <c r="O122" s="2362"/>
      <c r="P122" s="2362"/>
      <c r="Q122" s="2362"/>
      <c r="R122" s="2362"/>
      <c r="S122" s="2366"/>
      <c r="T122" s="669"/>
      <c r="U122" s="669"/>
      <c r="V122" s="669"/>
      <c r="W122" s="669"/>
      <c r="X122" s="669"/>
      <c r="Y122" s="669"/>
      <c r="Z122" s="669"/>
      <c r="AA122" s="669"/>
      <c r="AB122" s="669"/>
      <c r="AC122" s="669"/>
    </row>
    <row r="123" spans="2:29" ht="12" customHeight="1" x14ac:dyDescent="0.3">
      <c r="B123" s="2407" t="str">
        <f>B112</f>
        <v>Železniční doprava</v>
      </c>
      <c r="C123" s="607" t="str">
        <f>IF('0 Úvod'!$M$10="English",Slovnik!D255,Slovnik!C255)</f>
        <v>Nákladní - regionální</v>
      </c>
      <c r="D123" s="923">
        <f>SUM(E123:S123,E133:S133)</f>
        <v>0</v>
      </c>
      <c r="E123" s="806"/>
      <c r="F123" s="806"/>
      <c r="G123" s="806"/>
      <c r="H123" s="806"/>
      <c r="I123" s="806"/>
      <c r="J123" s="806"/>
      <c r="K123" s="806"/>
      <c r="L123" s="806"/>
      <c r="M123" s="806"/>
      <c r="N123" s="806"/>
      <c r="O123" s="806"/>
      <c r="P123" s="806"/>
      <c r="Q123" s="806"/>
      <c r="R123" s="806"/>
      <c r="S123" s="806"/>
      <c r="T123" s="2025"/>
      <c r="U123" s="587"/>
      <c r="V123" s="587"/>
      <c r="W123" s="587"/>
      <c r="X123" s="587"/>
      <c r="Y123" s="587"/>
      <c r="Z123" s="587"/>
      <c r="AA123" s="587"/>
      <c r="AB123" s="587"/>
      <c r="AC123" s="587"/>
    </row>
    <row r="124" spans="2:29" ht="14.25" x14ac:dyDescent="0.3">
      <c r="B124" s="2386"/>
      <c r="C124" s="864" t="str">
        <f>IF('0 Úvod'!$M$10="English",Slovnik!D256,Slovnik!C256)</f>
        <v>Nákladní - dálková</v>
      </c>
      <c r="D124" s="924">
        <f t="shared" ref="D124:D129" si="34">SUM(E124:S124,E134:S134)</f>
        <v>0</v>
      </c>
      <c r="E124" s="806"/>
      <c r="F124" s="806"/>
      <c r="G124" s="806"/>
      <c r="H124" s="806"/>
      <c r="I124" s="806"/>
      <c r="J124" s="806"/>
      <c r="K124" s="806"/>
      <c r="L124" s="806"/>
      <c r="M124" s="806"/>
      <c r="N124" s="806"/>
      <c r="O124" s="806"/>
      <c r="P124" s="806"/>
      <c r="Q124" s="806"/>
      <c r="R124" s="806"/>
      <c r="S124" s="806"/>
      <c r="T124" s="2025"/>
      <c r="U124" s="587"/>
      <c r="V124" s="587"/>
      <c r="W124" s="587"/>
      <c r="X124" s="587"/>
      <c r="Y124" s="587"/>
      <c r="Z124" s="587"/>
      <c r="AA124" s="587"/>
      <c r="AB124" s="587"/>
      <c r="AC124" s="587"/>
    </row>
    <row r="125" spans="2:29" ht="12" customHeight="1" x14ac:dyDescent="0.3">
      <c r="B125" s="2408" t="str">
        <f>B114</f>
        <v>Indukov. doprava</v>
      </c>
      <c r="C125" s="607" t="str">
        <f>IF('0 Úvod'!$M$10="English",Slovnik!D257,Slovnik!C257)</f>
        <v>Nákladní - regionální</v>
      </c>
      <c r="D125" s="2026">
        <f t="shared" si="34"/>
        <v>0</v>
      </c>
      <c r="E125" s="2022"/>
      <c r="F125" s="2022"/>
      <c r="G125" s="2022"/>
      <c r="H125" s="2022"/>
      <c r="I125" s="2022"/>
      <c r="J125" s="2022"/>
      <c r="K125" s="2022"/>
      <c r="L125" s="2022"/>
      <c r="M125" s="2022"/>
      <c r="N125" s="2022"/>
      <c r="O125" s="2022"/>
      <c r="P125" s="2022"/>
      <c r="Q125" s="2022"/>
      <c r="R125" s="2022"/>
      <c r="S125" s="2022"/>
      <c r="T125" s="2025"/>
      <c r="U125" s="587"/>
      <c r="V125" s="587"/>
      <c r="W125" s="587"/>
      <c r="X125" s="587"/>
      <c r="Y125" s="587"/>
      <c r="Z125" s="587"/>
      <c r="AA125" s="587"/>
      <c r="AB125" s="587"/>
      <c r="AC125" s="587"/>
    </row>
    <row r="126" spans="2:29" ht="14.25" x14ac:dyDescent="0.3">
      <c r="B126" s="2386"/>
      <c r="C126" s="864" t="str">
        <f>IF('0 Úvod'!$M$10="English",Slovnik!D258,Slovnik!C258)</f>
        <v>Nákladní - dálková</v>
      </c>
      <c r="D126" s="924">
        <f t="shared" si="34"/>
        <v>0</v>
      </c>
      <c r="E126" s="2021"/>
      <c r="F126" s="2021"/>
      <c r="G126" s="2021"/>
      <c r="H126" s="2021"/>
      <c r="I126" s="2021"/>
      <c r="J126" s="2021"/>
      <c r="K126" s="2021"/>
      <c r="L126" s="2021"/>
      <c r="M126" s="2021"/>
      <c r="N126" s="2021"/>
      <c r="O126" s="2021"/>
      <c r="P126" s="2021"/>
      <c r="Q126" s="2021"/>
      <c r="R126" s="2021"/>
      <c r="S126" s="2021"/>
      <c r="T126" s="2025"/>
      <c r="U126" s="587"/>
      <c r="V126" s="587"/>
      <c r="W126" s="587"/>
      <c r="X126" s="587"/>
      <c r="Y126" s="587"/>
      <c r="Z126" s="587"/>
      <c r="AA126" s="587"/>
      <c r="AB126" s="587"/>
      <c r="AC126" s="587"/>
    </row>
    <row r="127" spans="2:29" ht="12" customHeight="1" x14ac:dyDescent="0.3">
      <c r="B127" s="2385" t="str">
        <f>B116</f>
        <v>Převed. doprava</v>
      </c>
      <c r="C127" s="805" t="s">
        <v>416</v>
      </c>
      <c r="D127" s="2026">
        <f t="shared" si="34"/>
        <v>0</v>
      </c>
      <c r="E127" s="806"/>
      <c r="F127" s="806"/>
      <c r="G127" s="806"/>
      <c r="H127" s="806"/>
      <c r="I127" s="806"/>
      <c r="J127" s="806"/>
      <c r="K127" s="806"/>
      <c r="L127" s="806"/>
      <c r="M127" s="806"/>
      <c r="N127" s="806"/>
      <c r="O127" s="806"/>
      <c r="P127" s="806"/>
      <c r="Q127" s="806"/>
      <c r="R127" s="806"/>
      <c r="S127" s="806"/>
      <c r="T127" s="2025"/>
      <c r="U127" s="587"/>
      <c r="V127" s="587"/>
      <c r="W127" s="587"/>
      <c r="X127" s="587"/>
      <c r="Y127" s="587"/>
      <c r="Z127" s="587"/>
      <c r="AA127" s="587"/>
      <c r="AB127" s="587"/>
      <c r="AC127" s="587"/>
    </row>
    <row r="128" spans="2:29" ht="14.25" x14ac:dyDescent="0.3">
      <c r="B128" s="2386"/>
      <c r="C128" s="805" t="s">
        <v>415</v>
      </c>
      <c r="D128" s="2027">
        <f t="shared" si="34"/>
        <v>0</v>
      </c>
      <c r="E128" s="806"/>
      <c r="F128" s="806"/>
      <c r="G128" s="806"/>
      <c r="H128" s="806"/>
      <c r="I128" s="806"/>
      <c r="J128" s="806"/>
      <c r="K128" s="806"/>
      <c r="L128" s="806"/>
      <c r="M128" s="806"/>
      <c r="N128" s="806"/>
      <c r="O128" s="806"/>
      <c r="P128" s="806"/>
      <c r="Q128" s="806"/>
      <c r="R128" s="806"/>
      <c r="S128" s="806"/>
      <c r="T128" s="2025"/>
      <c r="U128" s="587"/>
      <c r="V128" s="587"/>
      <c r="W128" s="587"/>
      <c r="X128" s="587"/>
      <c r="Y128" s="587"/>
      <c r="Z128" s="587"/>
      <c r="AA128" s="587"/>
      <c r="AB128" s="587"/>
      <c r="AC128" s="587"/>
    </row>
    <row r="129" spans="2:29" ht="15" thickBot="1" x14ac:dyDescent="0.35">
      <c r="B129" s="627"/>
      <c r="C129" s="900" t="str">
        <f>IF('0 Úvod'!$M$10="English",Slovnik!$D$254,Slovnik!$C$254)</f>
        <v>Celkové thod</v>
      </c>
      <c r="D129" s="901">
        <f t="shared" si="34"/>
        <v>0</v>
      </c>
      <c r="E129" s="902">
        <f t="shared" ref="E129:S129" si="35">SUM(E123:E128)</f>
        <v>0</v>
      </c>
      <c r="F129" s="2029">
        <f t="shared" si="35"/>
        <v>0</v>
      </c>
      <c r="G129" s="2029">
        <f t="shared" si="35"/>
        <v>0</v>
      </c>
      <c r="H129" s="2029">
        <f t="shared" si="35"/>
        <v>0</v>
      </c>
      <c r="I129" s="2029">
        <f t="shared" si="35"/>
        <v>0</v>
      </c>
      <c r="J129" s="2029">
        <f t="shared" si="35"/>
        <v>0</v>
      </c>
      <c r="K129" s="2029">
        <f t="shared" si="35"/>
        <v>0</v>
      </c>
      <c r="L129" s="2029">
        <f t="shared" si="35"/>
        <v>0</v>
      </c>
      <c r="M129" s="2029">
        <f t="shared" si="35"/>
        <v>0</v>
      </c>
      <c r="N129" s="2029">
        <f t="shared" si="35"/>
        <v>0</v>
      </c>
      <c r="O129" s="2029">
        <f t="shared" si="35"/>
        <v>0</v>
      </c>
      <c r="P129" s="2029">
        <f t="shared" si="35"/>
        <v>0</v>
      </c>
      <c r="Q129" s="2029">
        <f t="shared" si="35"/>
        <v>0</v>
      </c>
      <c r="R129" s="2029">
        <f t="shared" si="35"/>
        <v>0</v>
      </c>
      <c r="S129" s="2030">
        <f t="shared" si="35"/>
        <v>0</v>
      </c>
      <c r="T129" s="593"/>
      <c r="U129" s="593"/>
      <c r="V129" s="593"/>
      <c r="W129" s="593"/>
      <c r="X129" s="593"/>
      <c r="Y129" s="593"/>
      <c r="Z129" s="593"/>
      <c r="AA129" s="593"/>
      <c r="AB129" s="593"/>
      <c r="AC129" s="593"/>
    </row>
    <row r="130" spans="2:29" ht="14.25" thickBot="1" x14ac:dyDescent="0.35">
      <c r="B130" s="671"/>
      <c r="C130" s="666"/>
      <c r="D130" s="590"/>
      <c r="E130" s="673"/>
      <c r="F130" s="673"/>
      <c r="G130" s="673"/>
      <c r="H130" s="673"/>
      <c r="I130" s="673"/>
      <c r="J130" s="673"/>
      <c r="K130" s="673"/>
      <c r="L130" s="673"/>
      <c r="M130" s="673"/>
      <c r="N130" s="673"/>
      <c r="O130" s="673"/>
      <c r="P130" s="673"/>
      <c r="Q130" s="673"/>
      <c r="R130" s="673"/>
      <c r="S130" s="673"/>
      <c r="T130" s="590"/>
      <c r="U130" s="590"/>
      <c r="V130" s="590"/>
      <c r="W130" s="590"/>
      <c r="X130" s="590"/>
      <c r="Y130" s="590"/>
      <c r="Z130" s="590"/>
      <c r="AA130" s="590"/>
      <c r="AB130" s="590"/>
      <c r="AC130" s="590"/>
    </row>
    <row r="131" spans="2:29" ht="14.25" x14ac:dyDescent="0.3">
      <c r="B131" s="597" t="str">
        <f>B121</f>
        <v>5.7.</v>
      </c>
      <c r="C131" s="839" t="str">
        <f>C121</f>
        <v>Celkové thod</v>
      </c>
      <c r="D131" s="899"/>
      <c r="E131" s="2363">
        <f>S121+1</f>
        <v>2036</v>
      </c>
      <c r="F131" s="2361">
        <f t="shared" ref="F131:S131" si="36">E131+1</f>
        <v>2037</v>
      </c>
      <c r="G131" s="2361">
        <f t="shared" si="36"/>
        <v>2038</v>
      </c>
      <c r="H131" s="2361">
        <f t="shared" si="36"/>
        <v>2039</v>
      </c>
      <c r="I131" s="2361">
        <f t="shared" si="36"/>
        <v>2040</v>
      </c>
      <c r="J131" s="2361">
        <f t="shared" si="36"/>
        <v>2041</v>
      </c>
      <c r="K131" s="2361">
        <f t="shared" si="36"/>
        <v>2042</v>
      </c>
      <c r="L131" s="2361">
        <f t="shared" si="36"/>
        <v>2043</v>
      </c>
      <c r="M131" s="2361">
        <f t="shared" si="36"/>
        <v>2044</v>
      </c>
      <c r="N131" s="2361">
        <f t="shared" si="36"/>
        <v>2045</v>
      </c>
      <c r="O131" s="2361">
        <f t="shared" si="36"/>
        <v>2046</v>
      </c>
      <c r="P131" s="2361">
        <f t="shared" si="36"/>
        <v>2047</v>
      </c>
      <c r="Q131" s="2361">
        <f t="shared" si="36"/>
        <v>2048</v>
      </c>
      <c r="R131" s="2361">
        <f t="shared" si="36"/>
        <v>2049</v>
      </c>
      <c r="S131" s="2365">
        <f t="shared" si="36"/>
        <v>2050</v>
      </c>
      <c r="T131" s="669"/>
      <c r="U131" s="669"/>
      <c r="V131" s="669"/>
      <c r="W131" s="669"/>
      <c r="X131" s="669"/>
      <c r="Y131" s="669"/>
      <c r="Z131" s="669"/>
      <c r="AA131" s="669"/>
      <c r="AB131" s="669"/>
      <c r="AC131" s="669"/>
    </row>
    <row r="132" spans="2:29" ht="15" thickBot="1" x14ac:dyDescent="0.35">
      <c r="B132" s="694" t="s">
        <v>24</v>
      </c>
      <c r="C132" s="840"/>
      <c r="D132" s="697"/>
      <c r="E132" s="2364"/>
      <c r="F132" s="2362"/>
      <c r="G132" s="2362"/>
      <c r="H132" s="2362"/>
      <c r="I132" s="2362"/>
      <c r="J132" s="2362"/>
      <c r="K132" s="2362"/>
      <c r="L132" s="2362"/>
      <c r="M132" s="2362"/>
      <c r="N132" s="2362"/>
      <c r="O132" s="2362"/>
      <c r="P132" s="2362"/>
      <c r="Q132" s="2362"/>
      <c r="R132" s="2362"/>
      <c r="S132" s="2366"/>
      <c r="T132" s="669"/>
      <c r="U132" s="669"/>
      <c r="V132" s="669"/>
      <c r="W132" s="669"/>
      <c r="X132" s="669"/>
      <c r="Y132" s="669"/>
      <c r="Z132" s="669"/>
      <c r="AA132" s="669"/>
      <c r="AB132" s="669"/>
      <c r="AC132" s="669"/>
    </row>
    <row r="133" spans="2:29" ht="14.25" x14ac:dyDescent="0.3">
      <c r="B133" s="2407" t="str">
        <f>B123</f>
        <v>Železniční doprava</v>
      </c>
      <c r="C133" s="607" t="str">
        <f>C123</f>
        <v>Nákladní - regionální</v>
      </c>
      <c r="D133" s="912"/>
      <c r="E133" s="784"/>
      <c r="F133" s="784"/>
      <c r="G133" s="784"/>
      <c r="H133" s="784"/>
      <c r="I133" s="784"/>
      <c r="J133" s="784"/>
      <c r="K133" s="784"/>
      <c r="L133" s="784"/>
      <c r="M133" s="784"/>
      <c r="N133" s="784"/>
      <c r="O133" s="784"/>
      <c r="P133" s="784"/>
      <c r="Q133" s="784"/>
      <c r="R133" s="784"/>
      <c r="S133" s="784"/>
      <c r="T133" s="1981"/>
      <c r="U133" s="590"/>
      <c r="V133" s="590"/>
      <c r="W133" s="590"/>
      <c r="X133" s="590"/>
      <c r="Y133" s="590"/>
      <c r="Z133" s="590"/>
      <c r="AA133" s="590"/>
      <c r="AB133" s="590"/>
      <c r="AC133" s="590"/>
    </row>
    <row r="134" spans="2:29" ht="14.25" x14ac:dyDescent="0.3">
      <c r="B134" s="2385"/>
      <c r="C134" s="607" t="str">
        <f t="shared" ref="C134:C139" si="37">C124</f>
        <v>Nákladní - dálková</v>
      </c>
      <c r="D134" s="913"/>
      <c r="E134" s="784"/>
      <c r="F134" s="784"/>
      <c r="G134" s="784"/>
      <c r="H134" s="784"/>
      <c r="I134" s="784"/>
      <c r="J134" s="784"/>
      <c r="K134" s="784"/>
      <c r="L134" s="784"/>
      <c r="M134" s="784"/>
      <c r="N134" s="784"/>
      <c r="O134" s="784"/>
      <c r="P134" s="784"/>
      <c r="Q134" s="784"/>
      <c r="R134" s="784"/>
      <c r="S134" s="784"/>
      <c r="T134" s="1981"/>
      <c r="U134" s="590"/>
      <c r="V134" s="590"/>
      <c r="W134" s="590"/>
      <c r="X134" s="590"/>
      <c r="Y134" s="590"/>
      <c r="Z134" s="590"/>
      <c r="AA134" s="590"/>
      <c r="AB134" s="590"/>
      <c r="AC134" s="590"/>
    </row>
    <row r="135" spans="2:29" ht="14.25" x14ac:dyDescent="0.3">
      <c r="B135" s="2408" t="str">
        <f>B125</f>
        <v>Indukov. doprava</v>
      </c>
      <c r="C135" s="914" t="str">
        <f t="shared" si="37"/>
        <v>Nákladní - regionální</v>
      </c>
      <c r="D135" s="2028"/>
      <c r="E135" s="2023"/>
      <c r="F135" s="2023"/>
      <c r="G135" s="2023"/>
      <c r="H135" s="2023"/>
      <c r="I135" s="2023"/>
      <c r="J135" s="2023"/>
      <c r="K135" s="2023"/>
      <c r="L135" s="2023"/>
      <c r="M135" s="2023"/>
      <c r="N135" s="2023"/>
      <c r="O135" s="2023"/>
      <c r="P135" s="2023"/>
      <c r="Q135" s="2023"/>
      <c r="R135" s="2023"/>
      <c r="S135" s="2023"/>
      <c r="T135" s="1981"/>
      <c r="U135" s="590"/>
      <c r="V135" s="590"/>
      <c r="W135" s="590"/>
      <c r="X135" s="590"/>
      <c r="Y135" s="590"/>
      <c r="Z135" s="590"/>
      <c r="AA135" s="590"/>
      <c r="AB135" s="590"/>
      <c r="AC135" s="590"/>
    </row>
    <row r="136" spans="2:29" ht="14.25" x14ac:dyDescent="0.3">
      <c r="B136" s="2386"/>
      <c r="C136" s="864" t="str">
        <f t="shared" si="37"/>
        <v>Nákladní - dálková</v>
      </c>
      <c r="D136" s="1247"/>
      <c r="E136" s="2024"/>
      <c r="F136" s="2024"/>
      <c r="G136" s="2024"/>
      <c r="H136" s="2024"/>
      <c r="I136" s="2024"/>
      <c r="J136" s="2024"/>
      <c r="K136" s="2024"/>
      <c r="L136" s="2024"/>
      <c r="M136" s="2024"/>
      <c r="N136" s="2024"/>
      <c r="O136" s="2024"/>
      <c r="P136" s="2024"/>
      <c r="Q136" s="2024"/>
      <c r="R136" s="2024"/>
      <c r="S136" s="2024"/>
      <c r="T136" s="1981"/>
      <c r="U136" s="590"/>
      <c r="V136" s="590"/>
      <c r="W136" s="590"/>
      <c r="X136" s="590"/>
      <c r="Y136" s="590"/>
      <c r="Z136" s="590"/>
      <c r="AA136" s="590"/>
      <c r="AB136" s="590"/>
      <c r="AC136" s="590"/>
    </row>
    <row r="137" spans="2:29" ht="14.25" x14ac:dyDescent="0.3">
      <c r="B137" s="2408" t="str">
        <f>B127</f>
        <v>Převed. doprava</v>
      </c>
      <c r="C137" s="914" t="str">
        <f t="shared" si="37"/>
        <v>LNV</v>
      </c>
      <c r="D137" s="2028"/>
      <c r="E137" s="2023"/>
      <c r="F137" s="2023"/>
      <c r="G137" s="2023"/>
      <c r="H137" s="2023"/>
      <c r="I137" s="2023"/>
      <c r="J137" s="2023"/>
      <c r="K137" s="2023"/>
      <c r="L137" s="2023"/>
      <c r="M137" s="2023"/>
      <c r="N137" s="2023"/>
      <c r="O137" s="2023"/>
      <c r="P137" s="2023"/>
      <c r="Q137" s="2023"/>
      <c r="R137" s="2023"/>
      <c r="S137" s="2023"/>
      <c r="T137" s="1981"/>
      <c r="U137" s="590"/>
      <c r="V137" s="590"/>
      <c r="W137" s="590"/>
      <c r="X137" s="590"/>
      <c r="Y137" s="590"/>
      <c r="Z137" s="590"/>
      <c r="AA137" s="590"/>
      <c r="AB137" s="590"/>
      <c r="AC137" s="590"/>
    </row>
    <row r="138" spans="2:29" ht="14.25" x14ac:dyDescent="0.3">
      <c r="B138" s="2386"/>
      <c r="C138" s="864" t="str">
        <f t="shared" si="37"/>
        <v>TNV</v>
      </c>
      <c r="D138" s="1240"/>
      <c r="E138" s="784"/>
      <c r="F138" s="784"/>
      <c r="G138" s="784"/>
      <c r="H138" s="784"/>
      <c r="I138" s="784"/>
      <c r="J138" s="784"/>
      <c r="K138" s="784"/>
      <c r="L138" s="784"/>
      <c r="M138" s="784"/>
      <c r="N138" s="784"/>
      <c r="O138" s="784"/>
      <c r="P138" s="784"/>
      <c r="Q138" s="784"/>
      <c r="R138" s="784"/>
      <c r="S138" s="784"/>
      <c r="T138" s="1981"/>
      <c r="U138" s="590"/>
      <c r="V138" s="590"/>
      <c r="W138" s="590"/>
      <c r="X138" s="590"/>
      <c r="Y138" s="590"/>
      <c r="Z138" s="590"/>
      <c r="AA138" s="590"/>
      <c r="AB138" s="590"/>
      <c r="AC138" s="590"/>
    </row>
    <row r="139" spans="2:29" ht="15" thickBot="1" x14ac:dyDescent="0.35">
      <c r="B139" s="768"/>
      <c r="C139" s="841" t="str">
        <f t="shared" si="37"/>
        <v>Celkové thod</v>
      </c>
      <c r="D139" s="770"/>
      <c r="E139" s="2031">
        <f t="shared" ref="E139:S139" si="38">SUM(E133:E138)</f>
        <v>0</v>
      </c>
      <c r="F139" s="2032">
        <f t="shared" si="38"/>
        <v>0</v>
      </c>
      <c r="G139" s="2032">
        <f t="shared" si="38"/>
        <v>0</v>
      </c>
      <c r="H139" s="2032">
        <f t="shared" si="38"/>
        <v>0</v>
      </c>
      <c r="I139" s="2032">
        <f t="shared" si="38"/>
        <v>0</v>
      </c>
      <c r="J139" s="2032">
        <f t="shared" si="38"/>
        <v>0</v>
      </c>
      <c r="K139" s="2032">
        <f t="shared" si="38"/>
        <v>0</v>
      </c>
      <c r="L139" s="2032">
        <f t="shared" si="38"/>
        <v>0</v>
      </c>
      <c r="M139" s="2032">
        <f t="shared" si="38"/>
        <v>0</v>
      </c>
      <c r="N139" s="2032">
        <f t="shared" si="38"/>
        <v>0</v>
      </c>
      <c r="O139" s="2032">
        <f t="shared" si="38"/>
        <v>0</v>
      </c>
      <c r="P139" s="2032">
        <f t="shared" si="38"/>
        <v>0</v>
      </c>
      <c r="Q139" s="2032">
        <f t="shared" si="38"/>
        <v>0</v>
      </c>
      <c r="R139" s="2032">
        <f t="shared" si="38"/>
        <v>0</v>
      </c>
      <c r="S139" s="2033">
        <f t="shared" si="38"/>
        <v>0</v>
      </c>
      <c r="T139" s="679"/>
      <c r="U139" s="679"/>
      <c r="V139" s="679"/>
      <c r="W139" s="679"/>
      <c r="X139" s="679"/>
      <c r="Y139" s="679"/>
      <c r="Z139" s="679"/>
      <c r="AA139" s="679"/>
      <c r="AB139" s="679"/>
      <c r="AC139" s="679"/>
    </row>
    <row r="140" spans="2:29" x14ac:dyDescent="0.3">
      <c r="T140" s="666"/>
      <c r="U140" s="787"/>
      <c r="V140" s="666"/>
      <c r="W140" s="666"/>
      <c r="X140" s="666"/>
      <c r="Y140" s="666"/>
      <c r="Z140" s="666"/>
      <c r="AA140" s="666"/>
      <c r="AB140" s="666"/>
      <c r="AC140" s="666"/>
    </row>
    <row r="141" spans="2:29" ht="14.25" thickBot="1" x14ac:dyDescent="0.35">
      <c r="T141" s="666"/>
      <c r="U141" s="787"/>
      <c r="V141" s="666"/>
      <c r="W141" s="666"/>
      <c r="X141" s="666"/>
      <c r="Y141" s="666"/>
      <c r="Z141" s="666"/>
      <c r="AA141" s="666"/>
      <c r="AB141" s="666"/>
      <c r="AC141" s="666"/>
    </row>
    <row r="142" spans="2:29" ht="14.25" x14ac:dyDescent="0.3">
      <c r="B142" s="868" t="s">
        <v>146</v>
      </c>
      <c r="C142" s="903" t="str">
        <f>IF('0 Úvod'!$M$10="English",Slovnik!$D$261,Slovnik!$C$261)</f>
        <v>Změna měrných hodnot času</v>
      </c>
      <c r="D142" s="904"/>
      <c r="E142" s="2409">
        <f>E2</f>
        <v>2021</v>
      </c>
      <c r="F142" s="2409">
        <f t="shared" ref="F142:S142" si="39">E142+1</f>
        <v>2022</v>
      </c>
      <c r="G142" s="2409">
        <f t="shared" si="39"/>
        <v>2023</v>
      </c>
      <c r="H142" s="2409">
        <f t="shared" si="39"/>
        <v>2024</v>
      </c>
      <c r="I142" s="2409">
        <f t="shared" si="39"/>
        <v>2025</v>
      </c>
      <c r="J142" s="2409">
        <f t="shared" si="39"/>
        <v>2026</v>
      </c>
      <c r="K142" s="2409">
        <f t="shared" si="39"/>
        <v>2027</v>
      </c>
      <c r="L142" s="2409">
        <f t="shared" si="39"/>
        <v>2028</v>
      </c>
      <c r="M142" s="2409">
        <f t="shared" si="39"/>
        <v>2029</v>
      </c>
      <c r="N142" s="2409">
        <f t="shared" si="39"/>
        <v>2030</v>
      </c>
      <c r="O142" s="2409">
        <f t="shared" si="39"/>
        <v>2031</v>
      </c>
      <c r="P142" s="2409">
        <f t="shared" si="39"/>
        <v>2032</v>
      </c>
      <c r="Q142" s="2409">
        <f t="shared" si="39"/>
        <v>2033</v>
      </c>
      <c r="R142" s="2409">
        <f t="shared" si="39"/>
        <v>2034</v>
      </c>
      <c r="S142" s="2411">
        <f t="shared" si="39"/>
        <v>2035</v>
      </c>
      <c r="T142" s="669"/>
      <c r="U142" s="669"/>
      <c r="V142" s="669"/>
      <c r="W142" s="669"/>
      <c r="X142" s="669"/>
      <c r="Y142" s="669"/>
      <c r="Z142" s="669"/>
      <c r="AA142" s="669"/>
      <c r="AB142" s="669"/>
      <c r="AC142" s="669"/>
    </row>
    <row r="143" spans="2:29" ht="15" thickBot="1" x14ac:dyDescent="0.35">
      <c r="B143" s="869" t="s">
        <v>23</v>
      </c>
      <c r="C143" s="870"/>
      <c r="D143" s="871" t="str">
        <f>IF('0 Úvod'!$M$10="English",Slovnik!$D$265,Slovnik!$C$265)</f>
        <v>Elasticita</v>
      </c>
      <c r="E143" s="2410"/>
      <c r="F143" s="2410"/>
      <c r="G143" s="2410"/>
      <c r="H143" s="2410"/>
      <c r="I143" s="2410"/>
      <c r="J143" s="2410"/>
      <c r="K143" s="2410"/>
      <c r="L143" s="2410"/>
      <c r="M143" s="2410"/>
      <c r="N143" s="2410"/>
      <c r="O143" s="2410"/>
      <c r="P143" s="2410"/>
      <c r="Q143" s="2410"/>
      <c r="R143" s="2410"/>
      <c r="S143" s="2412"/>
      <c r="T143" s="669"/>
      <c r="U143" s="669"/>
      <c r="V143" s="669"/>
      <c r="W143" s="669"/>
      <c r="X143" s="669"/>
      <c r="Y143" s="669"/>
      <c r="Z143" s="669"/>
      <c r="AA143" s="669"/>
      <c r="AB143" s="669"/>
      <c r="AC143" s="669"/>
    </row>
    <row r="144" spans="2:29" ht="14.25" x14ac:dyDescent="0.3">
      <c r="B144" s="925"/>
      <c r="C144" s="926" t="str">
        <f>IF('0 Úvod'!$M$10="English",Slovnik!D262,Slovnik!C262)</f>
        <v>Hodnota růstu HDP na hlavu (resp. prognóza)</v>
      </c>
      <c r="D144" s="934"/>
      <c r="E144" s="807">
        <v>0</v>
      </c>
      <c r="F144" s="937">
        <f>IF(HLOOKUP(F$142,'0 Úvod'!$D$56:$N$57,1,TRUE)=F$142,HLOOKUP(F$142,'0 Úvod'!$D$56:$N$57,2,TRUE),0.0236)</f>
        <v>2.3599999999999999E-2</v>
      </c>
      <c r="G144" s="937">
        <f>IF(HLOOKUP(G$142,'0 Úvod'!$D$56:$N$57,1,TRUE)=G$142,HLOOKUP(G$142,'0 Úvod'!$D$56:$N$57,2,TRUE),0.0236)</f>
        <v>2.3599999999999999E-2</v>
      </c>
      <c r="H144" s="937">
        <f>IF(HLOOKUP(H$142,'0 Úvod'!$D$56:$N$57,1,TRUE)=H$142,HLOOKUP(H$142,'0 Úvod'!$D$56:$N$57,2,TRUE),0.0236)</f>
        <v>2.3599999999999999E-2</v>
      </c>
      <c r="I144" s="937">
        <f>IF(HLOOKUP(I$142,'0 Úvod'!$D$56:$N$57,1,TRUE)=I$142,HLOOKUP(I$142,'0 Úvod'!$D$56:$N$57,2,TRUE),0.0236)</f>
        <v>2.3599999999999999E-2</v>
      </c>
      <c r="J144" s="937">
        <f>IF(HLOOKUP(J$142,'0 Úvod'!$D$56:$N$57,1,TRUE)=J$142,HLOOKUP(J$142,'0 Úvod'!$D$56:$N$57,2,TRUE),0.0236)</f>
        <v>2.3599999999999999E-2</v>
      </c>
      <c r="K144" s="937">
        <f>IF(HLOOKUP(K$142,'0 Úvod'!$D$56:$N$57,1,TRUE)=K$142,HLOOKUP(K$142,'0 Úvod'!$D$56:$N$57,2,TRUE),0.0236)</f>
        <v>2.3599999999999999E-2</v>
      </c>
      <c r="L144" s="937">
        <f>IF(HLOOKUP(L$142,'0 Úvod'!$D$56:$N$57,1,TRUE)=L$142,HLOOKUP(L$142,'0 Úvod'!$D$56:$N$57,2,TRUE),0.0236)</f>
        <v>2.3599999999999999E-2</v>
      </c>
      <c r="M144" s="937">
        <f>IF(HLOOKUP(M$142,'0 Úvod'!$D$56:$N$57,1,TRUE)=M$142,HLOOKUP(M$142,'0 Úvod'!$D$56:$N$57,2,TRUE),0.0236)</f>
        <v>2.3599999999999999E-2</v>
      </c>
      <c r="N144" s="937">
        <f>IF(HLOOKUP(N$142,'0 Úvod'!$D$56:$N$57,1,TRUE)=N$142,HLOOKUP(N$142,'0 Úvod'!$D$56:$N$57,2,TRUE),0.0236)</f>
        <v>2.3599999999999999E-2</v>
      </c>
      <c r="O144" s="937">
        <f>IF(HLOOKUP(O$142,'0 Úvod'!$D$56:$N$57,1,TRUE)=O$142,HLOOKUP(O$142,'0 Úvod'!$D$56:$N$57,2,TRUE),0.0236)</f>
        <v>2.3599999999999999E-2</v>
      </c>
      <c r="P144" s="937">
        <f>IF(HLOOKUP(P$142,'0 Úvod'!$D$56:$N$57,1,TRUE)=P$142,HLOOKUP(P$142,'0 Úvod'!$D$56:$N$57,2,TRUE),0.0236)</f>
        <v>2.3599999999999999E-2</v>
      </c>
      <c r="Q144" s="937">
        <f>IF(HLOOKUP(Q$142,'0 Úvod'!$D$56:$N$57,1,TRUE)=Q$142,HLOOKUP(Q$142,'0 Úvod'!$D$56:$N$57,2,TRUE),0.0236)</f>
        <v>2.3599999999999999E-2</v>
      </c>
      <c r="R144" s="937">
        <f>IF(HLOOKUP(R$142,'0 Úvod'!$D$56:$N$57,1,TRUE)=R$142,HLOOKUP(R$142,'0 Úvod'!$D$56:$N$57,2,TRUE),0.0236)</f>
        <v>2.3599999999999999E-2</v>
      </c>
      <c r="S144" s="938">
        <f>IF(HLOOKUP(S$142,'0 Úvod'!$D$56:$N$57,1,TRUE)=S$142,HLOOKUP(S$142,'0 Úvod'!$D$56:$N$57,2,TRUE),0.0236)</f>
        <v>2.3599999999999999E-2</v>
      </c>
      <c r="T144" s="838"/>
      <c r="U144" s="808"/>
      <c r="V144" s="808"/>
      <c r="W144" s="808"/>
      <c r="X144" s="808"/>
      <c r="Y144" s="808"/>
      <c r="Z144" s="808"/>
      <c r="AA144" s="808"/>
      <c r="AB144" s="808"/>
      <c r="AC144" s="808"/>
    </row>
    <row r="145" spans="2:29" ht="14.25" x14ac:dyDescent="0.3">
      <c r="B145" s="927"/>
      <c r="C145" s="607" t="str">
        <f>IF('0 Úvod'!$M$10="English",Slovnik!D263,Slovnik!C263)</f>
        <v>Výsledný růstový koef. - osobní (PRACOVNÍ čas) a nákladní doprava</v>
      </c>
      <c r="D145" s="935">
        <v>0.5</v>
      </c>
      <c r="E145" s="828">
        <f>(1+0.0236*D145)</f>
        <v>1.0118</v>
      </c>
      <c r="F145" s="939">
        <f>E145*(1+F144*$D$145)</f>
        <v>1.0237392400000001</v>
      </c>
      <c r="G145" s="939">
        <f t="shared" ref="G145:S145" si="40">F145*(1+G144*$D$145)</f>
        <v>1.0358193630320001</v>
      </c>
      <c r="H145" s="939">
        <f t="shared" si="40"/>
        <v>1.0480420315157777</v>
      </c>
      <c r="I145" s="939">
        <f t="shared" si="40"/>
        <v>1.0604089274876638</v>
      </c>
      <c r="J145" s="939">
        <f t="shared" si="40"/>
        <v>1.0729217528320183</v>
      </c>
      <c r="K145" s="939">
        <f t="shared" si="40"/>
        <v>1.085582229515436</v>
      </c>
      <c r="L145" s="939">
        <f t="shared" si="40"/>
        <v>1.0983920998237182</v>
      </c>
      <c r="M145" s="939">
        <f t="shared" si="40"/>
        <v>1.1113531266016381</v>
      </c>
      <c r="N145" s="939">
        <f t="shared" si="40"/>
        <v>1.1244670934955374</v>
      </c>
      <c r="O145" s="939">
        <f t="shared" si="40"/>
        <v>1.1377358051987847</v>
      </c>
      <c r="P145" s="939">
        <f t="shared" si="40"/>
        <v>1.1511610877001304</v>
      </c>
      <c r="Q145" s="939">
        <f t="shared" si="40"/>
        <v>1.164744788534992</v>
      </c>
      <c r="R145" s="939">
        <f t="shared" si="40"/>
        <v>1.178488777039705</v>
      </c>
      <c r="S145" s="940">
        <f t="shared" si="40"/>
        <v>1.1923949446087736</v>
      </c>
      <c r="T145" s="838"/>
      <c r="U145" s="808"/>
      <c r="V145" s="808"/>
      <c r="W145" s="808"/>
      <c r="X145" s="808"/>
      <c r="Y145" s="808"/>
      <c r="Z145" s="808"/>
      <c r="AA145" s="808"/>
      <c r="AB145" s="808"/>
      <c r="AC145" s="808"/>
    </row>
    <row r="146" spans="2:29" ht="15" thickBot="1" x14ac:dyDescent="0.35">
      <c r="B146" s="928"/>
      <c r="C146" s="929" t="str">
        <f>IF('0 Úvod'!$M$10="English",Slovnik!D264,Slovnik!C264)</f>
        <v>Výsledný růstový koef. - osobní (NEPRACOVNÍ čas) doprava</v>
      </c>
      <c r="D146" s="936">
        <v>0.4</v>
      </c>
      <c r="E146" s="829">
        <f>(1+0.0236*D146)</f>
        <v>1.0094399999999999</v>
      </c>
      <c r="F146" s="941">
        <f>E146*(1+F144*$D$146)</f>
        <v>1.0189691135999999</v>
      </c>
      <c r="G146" s="941">
        <f t="shared" ref="G146:S146" si="41">F146*(1+G144*$D$146)</f>
        <v>1.0285881820323837</v>
      </c>
      <c r="H146" s="941">
        <f t="shared" si="41"/>
        <v>1.0382980544707692</v>
      </c>
      <c r="I146" s="941">
        <f t="shared" si="41"/>
        <v>1.0480995881049731</v>
      </c>
      <c r="J146" s="941">
        <f t="shared" si="41"/>
        <v>1.0579936482166838</v>
      </c>
      <c r="K146" s="941">
        <f t="shared" si="41"/>
        <v>1.0679811082558492</v>
      </c>
      <c r="L146" s="941">
        <f t="shared" si="41"/>
        <v>1.0780628499177844</v>
      </c>
      <c r="M146" s="941">
        <f t="shared" si="41"/>
        <v>1.0882397632210081</v>
      </c>
      <c r="N146" s="941">
        <f t="shared" si="41"/>
        <v>1.0985127465858144</v>
      </c>
      <c r="O146" s="941">
        <f t="shared" si="41"/>
        <v>1.1088827069135845</v>
      </c>
      <c r="P146" s="941">
        <f t="shared" si="41"/>
        <v>1.1193505596668487</v>
      </c>
      <c r="Q146" s="941">
        <f t="shared" si="41"/>
        <v>1.1299172289501036</v>
      </c>
      <c r="R146" s="941">
        <f t="shared" si="41"/>
        <v>1.1405836475913924</v>
      </c>
      <c r="S146" s="942">
        <f t="shared" si="41"/>
        <v>1.1513507572246551</v>
      </c>
      <c r="T146" s="809"/>
      <c r="U146" s="809"/>
      <c r="V146" s="809"/>
      <c r="W146" s="809"/>
      <c r="X146" s="809"/>
      <c r="Y146" s="809"/>
      <c r="Z146" s="809"/>
      <c r="AA146" s="809"/>
      <c r="AB146" s="809"/>
      <c r="AC146" s="809"/>
    </row>
    <row r="147" spans="2:29" ht="14.25" thickBot="1" x14ac:dyDescent="0.35">
      <c r="T147" s="666"/>
      <c r="U147" s="787"/>
      <c r="V147" s="666"/>
      <c r="W147" s="666"/>
      <c r="X147" s="666"/>
      <c r="Y147" s="666"/>
      <c r="Z147" s="666"/>
      <c r="AA147" s="666"/>
      <c r="AB147" s="666"/>
      <c r="AC147" s="666"/>
    </row>
    <row r="148" spans="2:29" ht="14.25" x14ac:dyDescent="0.3">
      <c r="B148" s="905" t="str">
        <f>B142</f>
        <v>5.8.</v>
      </c>
      <c r="C148" s="906" t="str">
        <f>C142</f>
        <v>Změna měrných hodnot času</v>
      </c>
      <c r="D148" s="907"/>
      <c r="E148" s="2413">
        <f>S142+1</f>
        <v>2036</v>
      </c>
      <c r="F148" s="2409">
        <f t="shared" ref="F148:S148" si="42">E148+1</f>
        <v>2037</v>
      </c>
      <c r="G148" s="2409">
        <f t="shared" si="42"/>
        <v>2038</v>
      </c>
      <c r="H148" s="2409">
        <f t="shared" si="42"/>
        <v>2039</v>
      </c>
      <c r="I148" s="2409">
        <f t="shared" si="42"/>
        <v>2040</v>
      </c>
      <c r="J148" s="2409">
        <f t="shared" si="42"/>
        <v>2041</v>
      </c>
      <c r="K148" s="2409">
        <f t="shared" si="42"/>
        <v>2042</v>
      </c>
      <c r="L148" s="2409">
        <f t="shared" si="42"/>
        <v>2043</v>
      </c>
      <c r="M148" s="2409">
        <f t="shared" si="42"/>
        <v>2044</v>
      </c>
      <c r="N148" s="2409">
        <f t="shared" si="42"/>
        <v>2045</v>
      </c>
      <c r="O148" s="2409">
        <f t="shared" si="42"/>
        <v>2046</v>
      </c>
      <c r="P148" s="2409">
        <f t="shared" si="42"/>
        <v>2047</v>
      </c>
      <c r="Q148" s="2409">
        <f t="shared" si="42"/>
        <v>2048</v>
      </c>
      <c r="R148" s="2409">
        <f t="shared" si="42"/>
        <v>2049</v>
      </c>
      <c r="S148" s="2411">
        <f t="shared" si="42"/>
        <v>2050</v>
      </c>
      <c r="T148" s="669"/>
      <c r="U148" s="669"/>
      <c r="V148" s="669"/>
      <c r="W148" s="669"/>
      <c r="X148" s="669"/>
      <c r="Y148" s="669"/>
      <c r="Z148" s="669"/>
      <c r="AA148" s="669"/>
      <c r="AB148" s="669"/>
      <c r="AC148" s="669"/>
    </row>
    <row r="149" spans="2:29" ht="15" thickBot="1" x14ac:dyDescent="0.35">
      <c r="B149" s="908" t="s">
        <v>24</v>
      </c>
      <c r="C149" s="909"/>
      <c r="D149" s="910"/>
      <c r="E149" s="2414"/>
      <c r="F149" s="2410"/>
      <c r="G149" s="2410"/>
      <c r="H149" s="2410"/>
      <c r="I149" s="2410"/>
      <c r="J149" s="2410"/>
      <c r="K149" s="2410"/>
      <c r="L149" s="2410"/>
      <c r="M149" s="2410"/>
      <c r="N149" s="2410"/>
      <c r="O149" s="2410"/>
      <c r="P149" s="2410"/>
      <c r="Q149" s="2410"/>
      <c r="R149" s="2410"/>
      <c r="S149" s="2412"/>
      <c r="T149" s="669"/>
      <c r="U149" s="669"/>
      <c r="V149" s="669"/>
      <c r="W149" s="669"/>
      <c r="X149" s="669"/>
      <c r="Y149" s="669"/>
      <c r="Z149" s="669"/>
      <c r="AA149" s="669"/>
      <c r="AB149" s="669"/>
      <c r="AC149" s="669"/>
    </row>
    <row r="150" spans="2:29" ht="14.25" x14ac:dyDescent="0.3">
      <c r="B150" s="925"/>
      <c r="C150" s="926" t="str">
        <f>C144</f>
        <v>Hodnota růstu HDP na hlavu (resp. prognóza)</v>
      </c>
      <c r="D150" s="930"/>
      <c r="E150" s="943">
        <f>IF(HLOOKUP(E$148,'0 Úvod'!$D$56:$N$57,1,TRUE)=E$148,HLOOKUP(E$148,'0 Úvod'!$D$56:$N$57,2,TRUE),0.0236)</f>
        <v>2.3599999999999999E-2</v>
      </c>
      <c r="F150" s="943">
        <f>IF(HLOOKUP(F$148,'0 Úvod'!$D$56:$N$57,1,TRUE)=F$148,HLOOKUP(F$148,'0 Úvod'!$D$56:$N$57,2,TRUE),0.0236)</f>
        <v>2.3599999999999999E-2</v>
      </c>
      <c r="G150" s="943">
        <f>IF(HLOOKUP(G$148,'0 Úvod'!$D$56:$N$57,1,TRUE)=G$148,HLOOKUP(G$148,'0 Úvod'!$D$56:$N$57,2,TRUE),0.0236)</f>
        <v>2.3599999999999999E-2</v>
      </c>
      <c r="H150" s="943">
        <f>IF(HLOOKUP(H$148,'0 Úvod'!$D$56:$N$57,1,TRUE)=H$148,HLOOKUP(H$148,'0 Úvod'!$D$56:$N$57,2,TRUE),0.0236)</f>
        <v>2.3599999999999999E-2</v>
      </c>
      <c r="I150" s="943">
        <f>IF(HLOOKUP(I$148,'0 Úvod'!$D$56:$N$57,1,TRUE)=I$148,HLOOKUP(I$148,'0 Úvod'!$D$56:$N$57,2,TRUE),0.0236)</f>
        <v>2.3599999999999999E-2</v>
      </c>
      <c r="J150" s="943">
        <f>IF(HLOOKUP(J$148,'0 Úvod'!$D$56:$N$57,1,TRUE)=J$148,HLOOKUP(J$148,'0 Úvod'!$D$56:$N$57,2,TRUE),0.0236)</f>
        <v>2.3599999999999999E-2</v>
      </c>
      <c r="K150" s="943">
        <f>IF(HLOOKUP(K$148,'0 Úvod'!$D$56:$N$57,1,TRUE)=K$148,HLOOKUP(K$148,'0 Úvod'!$D$56:$N$57,2,TRUE),0.0236)</f>
        <v>2.3599999999999999E-2</v>
      </c>
      <c r="L150" s="943">
        <f>IF(HLOOKUP(L$148,'0 Úvod'!$D$56:$N$57,1,TRUE)=L$148,HLOOKUP(L$148,'0 Úvod'!$D$56:$N$57,2,TRUE),0.0236)</f>
        <v>2.3599999999999999E-2</v>
      </c>
      <c r="M150" s="943">
        <f>IF(HLOOKUP(M$148,'0 Úvod'!$D$56:$N$57,1,TRUE)=M$148,HLOOKUP(M$148,'0 Úvod'!$D$56:$N$57,2,TRUE),0.0236)</f>
        <v>2.3599999999999999E-2</v>
      </c>
      <c r="N150" s="943">
        <f>IF(HLOOKUP(N$148,'0 Úvod'!$D$56:$N$57,1,TRUE)=N$148,HLOOKUP(N$148,'0 Úvod'!$D$56:$N$57,2,TRUE),0.0236)</f>
        <v>2.3599999999999999E-2</v>
      </c>
      <c r="O150" s="943">
        <f>IF(HLOOKUP(O$148,'0 Úvod'!$D$56:$N$57,1,TRUE)=O$148,HLOOKUP(O$148,'0 Úvod'!$D$56:$N$57,2,TRUE),0.0236)</f>
        <v>2.3599999999999999E-2</v>
      </c>
      <c r="P150" s="943">
        <f>IF(HLOOKUP(P$148,'0 Úvod'!$D$56:$N$57,1,TRUE)=P$148,HLOOKUP(P$148,'0 Úvod'!$D$56:$N$57,2,TRUE),0.0236)</f>
        <v>2.3599999999999999E-2</v>
      </c>
      <c r="Q150" s="943">
        <f>IF(HLOOKUP(Q$148,'0 Úvod'!$D$56:$N$57,1,TRUE)=Q$148,HLOOKUP(Q$148,'0 Úvod'!$D$56:$N$57,2,TRUE),0.0236)</f>
        <v>2.3599999999999999E-2</v>
      </c>
      <c r="R150" s="943">
        <f>IF(HLOOKUP(R$148,'0 Úvod'!$D$56:$N$57,1,TRUE)=R$148,HLOOKUP(R$148,'0 Úvod'!$D$56:$N$57,2,TRUE),0.0236)</f>
        <v>2.3599999999999999E-2</v>
      </c>
      <c r="S150" s="944">
        <f>IF(HLOOKUP(S$148,'0 Úvod'!$D$56:$N$57,1,TRUE)=S$148,HLOOKUP(S$148,'0 Úvod'!$D$56:$N$57,2,TRUE),0.0236)</f>
        <v>2.3599999999999999E-2</v>
      </c>
      <c r="T150" s="808"/>
      <c r="U150" s="808"/>
      <c r="V150" s="808"/>
      <c r="W150" s="808"/>
      <c r="X150" s="808"/>
      <c r="Y150" s="808"/>
      <c r="Z150" s="808"/>
      <c r="AA150" s="808"/>
      <c r="AB150" s="808"/>
      <c r="AC150" s="808"/>
    </row>
    <row r="151" spans="2:29" ht="14.25" x14ac:dyDescent="0.3">
      <c r="B151" s="927"/>
      <c r="C151" s="607" t="str">
        <f>C145</f>
        <v>Výsledný růstový koef. - osobní (PRACOVNÍ čas) a nákladní doprava</v>
      </c>
      <c r="D151" s="931"/>
      <c r="E151" s="939">
        <f>S145*(1+E150*$D$145)</f>
        <v>1.2064652049551572</v>
      </c>
      <c r="F151" s="939">
        <f>E151*(1+F150*$D$145)</f>
        <v>1.2207014943736281</v>
      </c>
      <c r="G151" s="939">
        <f t="shared" ref="G151:S151" si="43">F151*(1+G150*$D$145)</f>
        <v>1.2351057720072369</v>
      </c>
      <c r="H151" s="939">
        <f t="shared" si="43"/>
        <v>1.2496800201169223</v>
      </c>
      <c r="I151" s="939">
        <f t="shared" si="43"/>
        <v>1.264426244354302</v>
      </c>
      <c r="J151" s="939">
        <f t="shared" si="43"/>
        <v>1.2793464740376828</v>
      </c>
      <c r="K151" s="939">
        <f t="shared" si="43"/>
        <v>1.2944427624313275</v>
      </c>
      <c r="L151" s="939">
        <f t="shared" si="43"/>
        <v>1.3097171870280173</v>
      </c>
      <c r="M151" s="939">
        <f t="shared" si="43"/>
        <v>1.3251718498349481</v>
      </c>
      <c r="N151" s="939">
        <f t="shared" si="43"/>
        <v>1.3408088776630005</v>
      </c>
      <c r="O151" s="939">
        <f t="shared" si="43"/>
        <v>1.3566304224194239</v>
      </c>
      <c r="P151" s="939">
        <f t="shared" si="43"/>
        <v>1.3726386614039732</v>
      </c>
      <c r="Q151" s="939">
        <f t="shared" si="43"/>
        <v>1.3888357976085401</v>
      </c>
      <c r="R151" s="939">
        <f t="shared" si="43"/>
        <v>1.405224060020321</v>
      </c>
      <c r="S151" s="940">
        <f t="shared" si="43"/>
        <v>1.4218057039285608</v>
      </c>
      <c r="T151" s="808"/>
      <c r="U151" s="808"/>
      <c r="V151" s="808"/>
      <c r="W151" s="808"/>
      <c r="X151" s="808"/>
      <c r="Y151" s="808"/>
      <c r="Z151" s="808"/>
      <c r="AA151" s="808"/>
      <c r="AB151" s="808"/>
      <c r="AC151" s="808"/>
    </row>
    <row r="152" spans="2:29" ht="15" thickBot="1" x14ac:dyDescent="0.35">
      <c r="B152" s="928"/>
      <c r="C152" s="932" t="str">
        <f>C146</f>
        <v>Výsledný růstový koef. - osobní (NEPRACOVNÍ čas) doprava</v>
      </c>
      <c r="D152" s="933"/>
      <c r="E152" s="941">
        <f>S146*(1+E150*$D$146)</f>
        <v>1.1622195083728557</v>
      </c>
      <c r="F152" s="941">
        <f>E152*(1+F150*$D$146)</f>
        <v>1.1731908605318953</v>
      </c>
      <c r="G152" s="941">
        <f t="shared" ref="G152:S152" si="44">F152*(1+G150*$D$146)</f>
        <v>1.1842657822553162</v>
      </c>
      <c r="H152" s="941">
        <f t="shared" si="44"/>
        <v>1.1954452512398062</v>
      </c>
      <c r="I152" s="941">
        <f t="shared" si="44"/>
        <v>1.2067302544115097</v>
      </c>
      <c r="J152" s="941">
        <f t="shared" si="44"/>
        <v>1.2181217880131543</v>
      </c>
      <c r="K152" s="941">
        <f t="shared" si="44"/>
        <v>1.2296208576919982</v>
      </c>
      <c r="L152" s="941">
        <f t="shared" si="44"/>
        <v>1.2412284785886105</v>
      </c>
      <c r="M152" s="941">
        <f t="shared" si="44"/>
        <v>1.2529456754264869</v>
      </c>
      <c r="N152" s="941">
        <f t="shared" si="44"/>
        <v>1.2647734826025128</v>
      </c>
      <c r="O152" s="941">
        <f t="shared" si="44"/>
        <v>1.2767129442782803</v>
      </c>
      <c r="P152" s="941">
        <f t="shared" si="44"/>
        <v>1.2887651144722672</v>
      </c>
      <c r="Q152" s="941">
        <f t="shared" si="44"/>
        <v>1.3009310571528852</v>
      </c>
      <c r="R152" s="941">
        <f t="shared" si="44"/>
        <v>1.3132118463324083</v>
      </c>
      <c r="S152" s="945">
        <f t="shared" si="44"/>
        <v>1.325608566161786</v>
      </c>
      <c r="T152" s="809"/>
      <c r="U152" s="809"/>
      <c r="V152" s="809"/>
      <c r="W152" s="809"/>
      <c r="X152" s="809"/>
      <c r="Y152" s="809"/>
      <c r="Z152" s="809"/>
      <c r="AA152" s="809"/>
      <c r="AB152" s="809"/>
      <c r="AC152" s="809"/>
    </row>
    <row r="153" spans="2:29" ht="14.25" x14ac:dyDescent="0.3">
      <c r="B153" s="810"/>
    </row>
    <row r="154" spans="2:29" ht="15" thickBot="1" x14ac:dyDescent="0.35">
      <c r="B154" s="810"/>
    </row>
    <row r="155" spans="2:29" ht="14.25" customHeight="1" x14ac:dyDescent="0.3">
      <c r="B155" s="2421" t="str">
        <f>IF('0 Úvod'!$M$10="English",Slovnik!$D$266,Slovnik!$C$266)</f>
        <v>Komentáře</v>
      </c>
      <c r="C155" s="2422"/>
      <c r="D155" s="2422"/>
      <c r="E155" s="2422"/>
      <c r="F155" s="2422"/>
      <c r="G155" s="2422"/>
      <c r="H155" s="2422"/>
      <c r="I155" s="2422"/>
      <c r="J155" s="2422"/>
      <c r="K155" s="2422"/>
      <c r="L155" s="2422"/>
      <c r="M155" s="2422"/>
      <c r="N155" s="2422"/>
      <c r="O155" s="2422"/>
      <c r="P155" s="2422"/>
      <c r="Q155" s="2422"/>
      <c r="R155" s="2422"/>
      <c r="S155" s="2423"/>
    </row>
    <row r="156" spans="2:29" ht="15" customHeight="1" thickBot="1" x14ac:dyDescent="0.35">
      <c r="B156" s="2424"/>
      <c r="C156" s="2425"/>
      <c r="D156" s="2425"/>
      <c r="E156" s="2425"/>
      <c r="F156" s="2425"/>
      <c r="G156" s="2425"/>
      <c r="H156" s="2425"/>
      <c r="I156" s="2425"/>
      <c r="J156" s="2425"/>
      <c r="K156" s="2425"/>
      <c r="L156" s="2425"/>
      <c r="M156" s="2425"/>
      <c r="N156" s="2425"/>
      <c r="O156" s="2425"/>
      <c r="P156" s="2425"/>
      <c r="Q156" s="2425"/>
      <c r="R156" s="2425"/>
      <c r="S156" s="2426"/>
    </row>
    <row r="157" spans="2:29" ht="14.25" x14ac:dyDescent="0.3">
      <c r="B157" s="826" t="str">
        <f>IF('0 Úvod'!$M$10="English",Slovnik!$E$260,Slovnik!$E$259)</f>
        <v>Zpracovatel uvede konkrétní hodnoty výstupů z dopravního prognózování použité při výpočtu úspor času. Tabulky 5.6. a 5.7. je možné přizpůsobit konkrétnímu projektu.</v>
      </c>
      <c r="C157" s="811"/>
      <c r="D157" s="812"/>
      <c r="E157" s="812"/>
      <c r="F157" s="812"/>
      <c r="G157" s="813"/>
      <c r="H157" s="814"/>
      <c r="I157" s="814"/>
      <c r="J157" s="814"/>
      <c r="K157" s="814"/>
      <c r="L157" s="814"/>
      <c r="M157" s="814"/>
      <c r="N157" s="814"/>
      <c r="O157" s="814"/>
      <c r="P157" s="814"/>
      <c r="Q157" s="821"/>
      <c r="R157" s="821"/>
      <c r="S157" s="822"/>
    </row>
    <row r="158" spans="2:29" ht="14.25" x14ac:dyDescent="0.3">
      <c r="B158" s="826" t="str">
        <f>IF('0 Úvod'!$M$10="English",Slovnik!$E$262,Slovnik!$E$261)</f>
        <v>V tabulce 5.1., 5.2. a  5.3. uvede zpracovatel konkrétní výpočet pomocí vzorců, s odkazem na tabulky výkonů (tabulka 5.6. a 5.7.) a měrného ohodnocení (tabulka 5.5.) a vynásobí hodnoty v tabulce 5.1, 5.2 a 5.3 správnou hodnotou z tabulky 5.8</v>
      </c>
      <c r="C158" s="811"/>
      <c r="D158" s="812"/>
      <c r="E158" s="812"/>
      <c r="F158" s="812"/>
      <c r="G158" s="813"/>
      <c r="H158" s="814"/>
      <c r="I158" s="814"/>
      <c r="J158" s="814"/>
      <c r="K158" s="814"/>
      <c r="L158" s="814"/>
      <c r="M158" s="814"/>
      <c r="N158" s="814"/>
      <c r="O158" s="814"/>
      <c r="P158" s="814"/>
      <c r="S158" s="823"/>
    </row>
    <row r="159" spans="2:29" ht="14.25" x14ac:dyDescent="0.3">
      <c r="B159" s="1769" t="str">
        <f>IF('0 Úvod'!$M$10="English",Slovnik!$E$264,Slovnik!$E$263)</f>
        <v>V případě zpracování hodnocení pro silniční projekty je možné použít výstupy z HDM-4 vložené přímo do tabulky v listu "Vstupy z HDM-4 a EXNAD". Jejich přepočet se provádí automaticky a je třeba nastavit pouze hodnotu indexace v prvním roce v buňce E146.</v>
      </c>
      <c r="C159" s="1770"/>
      <c r="D159" s="812"/>
      <c r="E159" s="812"/>
      <c r="F159" s="814"/>
      <c r="G159" s="836"/>
      <c r="H159" s="814"/>
      <c r="I159" s="814"/>
      <c r="J159" s="814"/>
      <c r="K159" s="814"/>
      <c r="L159" s="814"/>
      <c r="M159" s="814"/>
      <c r="N159" s="814"/>
      <c r="O159" s="814"/>
      <c r="P159" s="814"/>
      <c r="S159" s="823"/>
    </row>
    <row r="160" spans="2:29" ht="15" thickBot="1" x14ac:dyDescent="0.35">
      <c r="B160" s="837" t="str">
        <f>IF('0 Úvod'!$M$10="English",Slovnik!$E$267,Slovnik!$E$266)</f>
        <v>Pro nákladní dopravu lze alternativně použít hodnoty podle dopravních módů nebo přepravovaných komodit. Podmínky jsou obsaženy v kapitole 8.1.13 Rezortní metodiky</v>
      </c>
      <c r="C160" s="824"/>
      <c r="D160" s="824"/>
      <c r="E160" s="824"/>
      <c r="F160" s="824"/>
      <c r="G160" s="824"/>
      <c r="H160" s="824"/>
      <c r="I160" s="824"/>
      <c r="J160" s="824"/>
      <c r="K160" s="824"/>
      <c r="L160" s="824"/>
      <c r="M160" s="824"/>
      <c r="N160" s="824"/>
      <c r="O160" s="824"/>
      <c r="P160" s="824"/>
      <c r="Q160" s="824"/>
      <c r="R160" s="824"/>
      <c r="S160" s="825"/>
    </row>
    <row r="161" spans="2:19" ht="15" customHeight="1" x14ac:dyDescent="0.3">
      <c r="B161" s="2415" t="str">
        <f>IF('0 Úvod'!$M$10="English",Slovnik!$E$270,Slovnik!$E$269)</f>
        <v>Pro výpočet úspor času v MHD se využije sazby pro BUS, hodnoty pro tramvaje a metro se uvádějí do řádků úspory stávající železniční dopravy a hodnoty pro trolejbus do řádku pro BUS (případně dalšího volného řádku u převedené dopravy). U jednotlivých řádků je třeba doplnit odpovídající vysvětlující popis.</v>
      </c>
      <c r="C161" s="2416"/>
      <c r="D161" s="2416"/>
      <c r="E161" s="2416"/>
      <c r="F161" s="2416"/>
      <c r="G161" s="2416"/>
      <c r="H161" s="2416"/>
      <c r="I161" s="2416"/>
      <c r="J161" s="2416"/>
      <c r="K161" s="2416"/>
      <c r="L161" s="2416"/>
      <c r="M161" s="2416"/>
      <c r="N161" s="2416"/>
      <c r="O161" s="2416"/>
      <c r="P161" s="2416"/>
      <c r="Q161" s="2416"/>
      <c r="R161" s="2416"/>
      <c r="S161" s="2417"/>
    </row>
    <row r="162" spans="2:19" ht="14.25" thickBot="1" x14ac:dyDescent="0.35">
      <c r="B162" s="2418"/>
      <c r="C162" s="2419"/>
      <c r="D162" s="2419"/>
      <c r="E162" s="2419"/>
      <c r="F162" s="2419"/>
      <c r="G162" s="2419"/>
      <c r="H162" s="2419"/>
      <c r="I162" s="2419"/>
      <c r="J162" s="2419"/>
      <c r="K162" s="2419"/>
      <c r="L162" s="2419"/>
      <c r="M162" s="2419"/>
      <c r="N162" s="2419"/>
      <c r="O162" s="2419"/>
      <c r="P162" s="2419"/>
      <c r="Q162" s="2419"/>
      <c r="R162" s="2419"/>
      <c r="S162" s="2420"/>
    </row>
  </sheetData>
  <sheetProtection algorithmName="SHA-512" hashValue="yMYqH7k4ZyCdS811Yqhze88rg7hepmF2LtxsEbUg9I3oLxQ0uKxxmeCbIYOMSlKbgVpk1+QPVDEBzmHP7QHA9g==" saltValue="AfoXDlJtEwqLzU5tlrTZBw==" spinCount="100000" sheet="1" formatCells="0" formatColumns="0" formatRows="0" insertColumns="0" insertRows="0" insertHyperlinks="0" deleteColumns="0" deleteRows="0" sort="0" autoFilter="0" pivotTables="0"/>
  <mergeCells count="238">
    <mergeCell ref="B161:S162"/>
    <mergeCell ref="B155:S156"/>
    <mergeCell ref="B91:D91"/>
    <mergeCell ref="B92:C93"/>
    <mergeCell ref="B94:C96"/>
    <mergeCell ref="B4:B7"/>
    <mergeCell ref="B13:B16"/>
    <mergeCell ref="B123:B124"/>
    <mergeCell ref="B125:B126"/>
    <mergeCell ref="B102:B103"/>
    <mergeCell ref="B104:B105"/>
    <mergeCell ref="I63:I64"/>
    <mergeCell ref="E29:E30"/>
    <mergeCell ref="F29:F30"/>
    <mergeCell ref="G29:G30"/>
    <mergeCell ref="H29:H30"/>
    <mergeCell ref="I29:I30"/>
    <mergeCell ref="E11:E12"/>
    <mergeCell ref="F11:F12"/>
    <mergeCell ref="G11:G12"/>
    <mergeCell ref="H11:H12"/>
    <mergeCell ref="I11:I12"/>
    <mergeCell ref="R148:R149"/>
    <mergeCell ref="S148:S149"/>
    <mergeCell ref="S142:S143"/>
    <mergeCell ref="E148:E149"/>
    <mergeCell ref="F148:F149"/>
    <mergeCell ref="G148:G149"/>
    <mergeCell ref="H148:H149"/>
    <mergeCell ref="I148:I149"/>
    <mergeCell ref="J148:J149"/>
    <mergeCell ref="J142:J143"/>
    <mergeCell ref="K142:K143"/>
    <mergeCell ref="L142:L143"/>
    <mergeCell ref="M142:M143"/>
    <mergeCell ref="N142:N143"/>
    <mergeCell ref="O142:O143"/>
    <mergeCell ref="K148:K149"/>
    <mergeCell ref="L148:L149"/>
    <mergeCell ref="M148:M149"/>
    <mergeCell ref="N148:N149"/>
    <mergeCell ref="O148:O149"/>
    <mergeCell ref="P148:P149"/>
    <mergeCell ref="P142:P143"/>
    <mergeCell ref="Q142:Q143"/>
    <mergeCell ref="R142:R143"/>
    <mergeCell ref="B137:B138"/>
    <mergeCell ref="E142:E143"/>
    <mergeCell ref="F142:F143"/>
    <mergeCell ref="G142:G143"/>
    <mergeCell ref="H142:H143"/>
    <mergeCell ref="I142:I143"/>
    <mergeCell ref="Q148:Q149"/>
    <mergeCell ref="S131:S132"/>
    <mergeCell ref="B133:B134"/>
    <mergeCell ref="B135:B136"/>
    <mergeCell ref="J131:J132"/>
    <mergeCell ref="K131:K132"/>
    <mergeCell ref="L131:L132"/>
    <mergeCell ref="M131:M132"/>
    <mergeCell ref="N131:N132"/>
    <mergeCell ref="O131:O132"/>
    <mergeCell ref="E131:E132"/>
    <mergeCell ref="F131:F132"/>
    <mergeCell ref="G131:G132"/>
    <mergeCell ref="H131:H132"/>
    <mergeCell ref="I131:I132"/>
    <mergeCell ref="P131:P132"/>
    <mergeCell ref="Q131:Q132"/>
    <mergeCell ref="R131:R132"/>
    <mergeCell ref="M121:M122"/>
    <mergeCell ref="N121:N122"/>
    <mergeCell ref="O121:O122"/>
    <mergeCell ref="B127:B128"/>
    <mergeCell ref="E121:E122"/>
    <mergeCell ref="F121:F122"/>
    <mergeCell ref="G121:G122"/>
    <mergeCell ref="H121:H122"/>
    <mergeCell ref="I121:I122"/>
    <mergeCell ref="L121:L122"/>
    <mergeCell ref="S121:S122"/>
    <mergeCell ref="B112:B113"/>
    <mergeCell ref="B114:B115"/>
    <mergeCell ref="J110:J111"/>
    <mergeCell ref="K110:K111"/>
    <mergeCell ref="L110:L111"/>
    <mergeCell ref="M110:M111"/>
    <mergeCell ref="N110:N111"/>
    <mergeCell ref="O110:O111"/>
    <mergeCell ref="B116:B117"/>
    <mergeCell ref="E110:E111"/>
    <mergeCell ref="F110:F111"/>
    <mergeCell ref="G110:G111"/>
    <mergeCell ref="H110:H111"/>
    <mergeCell ref="I110:I111"/>
    <mergeCell ref="P121:P122"/>
    <mergeCell ref="Q121:Q122"/>
    <mergeCell ref="R121:R122"/>
    <mergeCell ref="S110:S111"/>
    <mergeCell ref="P110:P111"/>
    <mergeCell ref="Q110:Q111"/>
    <mergeCell ref="R110:R111"/>
    <mergeCell ref="J121:J122"/>
    <mergeCell ref="K121:K122"/>
    <mergeCell ref="J100:J101"/>
    <mergeCell ref="K100:K101"/>
    <mergeCell ref="L100:L101"/>
    <mergeCell ref="M100:M101"/>
    <mergeCell ref="N100:N101"/>
    <mergeCell ref="O100:O101"/>
    <mergeCell ref="B106:B107"/>
    <mergeCell ref="K78:N79"/>
    <mergeCell ref="B80:D80"/>
    <mergeCell ref="B81:C82"/>
    <mergeCell ref="B83:B90"/>
    <mergeCell ref="C83:C84"/>
    <mergeCell ref="C85:C86"/>
    <mergeCell ref="C87:C88"/>
    <mergeCell ref="C89:C90"/>
    <mergeCell ref="E78:F78"/>
    <mergeCell ref="S100:S101"/>
    <mergeCell ref="P100:P101"/>
    <mergeCell ref="Q100:Q101"/>
    <mergeCell ref="R100:R101"/>
    <mergeCell ref="G55:G56"/>
    <mergeCell ref="H55:H56"/>
    <mergeCell ref="I55:I56"/>
    <mergeCell ref="J55:J56"/>
    <mergeCell ref="E100:E101"/>
    <mergeCell ref="F100:F101"/>
    <mergeCell ref="G100:G101"/>
    <mergeCell ref="H100:H101"/>
    <mergeCell ref="I100:I101"/>
    <mergeCell ref="N63:N64"/>
    <mergeCell ref="O63:O64"/>
    <mergeCell ref="P63:P64"/>
    <mergeCell ref="Q63:Q64"/>
    <mergeCell ref="R63:R64"/>
    <mergeCell ref="S63:S64"/>
    <mergeCell ref="S55:S56"/>
    <mergeCell ref="E63:E64"/>
    <mergeCell ref="F63:F64"/>
    <mergeCell ref="G63:G64"/>
    <mergeCell ref="H63:H64"/>
    <mergeCell ref="O46:O47"/>
    <mergeCell ref="P46:P47"/>
    <mergeCell ref="R46:R47"/>
    <mergeCell ref="J63:J64"/>
    <mergeCell ref="K63:K64"/>
    <mergeCell ref="L63:L64"/>
    <mergeCell ref="M63:M64"/>
    <mergeCell ref="M55:M56"/>
    <mergeCell ref="N55:N56"/>
    <mergeCell ref="O55:O56"/>
    <mergeCell ref="P55:P56"/>
    <mergeCell ref="Q55:Q56"/>
    <mergeCell ref="E55:E56"/>
    <mergeCell ref="F55:F56"/>
    <mergeCell ref="E38:E39"/>
    <mergeCell ref="F38:F39"/>
    <mergeCell ref="G38:G39"/>
    <mergeCell ref="H38:H39"/>
    <mergeCell ref="I38:I39"/>
    <mergeCell ref="M46:M47"/>
    <mergeCell ref="N46:N47"/>
    <mergeCell ref="Q21:Q22"/>
    <mergeCell ref="R21:R22"/>
    <mergeCell ref="E21:E22"/>
    <mergeCell ref="F21:F22"/>
    <mergeCell ref="G21:G22"/>
    <mergeCell ref="K55:K56"/>
    <mergeCell ref="L55:L56"/>
    <mergeCell ref="L46:L47"/>
    <mergeCell ref="Q38:Q39"/>
    <mergeCell ref="R38:R39"/>
    <mergeCell ref="E46:E47"/>
    <mergeCell ref="F46:F47"/>
    <mergeCell ref="G46:G47"/>
    <mergeCell ref="H46:H47"/>
    <mergeCell ref="I46:I47"/>
    <mergeCell ref="J46:J47"/>
    <mergeCell ref="K46:K47"/>
    <mergeCell ref="K38:K39"/>
    <mergeCell ref="L38:L39"/>
    <mergeCell ref="M38:M39"/>
    <mergeCell ref="N38:N39"/>
    <mergeCell ref="O38:O39"/>
    <mergeCell ref="P38:P39"/>
    <mergeCell ref="R55:R56"/>
    <mergeCell ref="S46:S47"/>
    <mergeCell ref="R29:R30"/>
    <mergeCell ref="S29:S30"/>
    <mergeCell ref="S38:S39"/>
    <mergeCell ref="Q46:Q47"/>
    <mergeCell ref="H21:H22"/>
    <mergeCell ref="I21:I22"/>
    <mergeCell ref="J21:J22"/>
    <mergeCell ref="K21:K22"/>
    <mergeCell ref="L21:L22"/>
    <mergeCell ref="S21:S22"/>
    <mergeCell ref="M21:M22"/>
    <mergeCell ref="N21:N22"/>
    <mergeCell ref="O21:O22"/>
    <mergeCell ref="J29:J30"/>
    <mergeCell ref="K29:K30"/>
    <mergeCell ref="L29:L30"/>
    <mergeCell ref="M29:M30"/>
    <mergeCell ref="N29:N30"/>
    <mergeCell ref="O29:O30"/>
    <mergeCell ref="P29:P30"/>
    <mergeCell ref="Q29:Q30"/>
    <mergeCell ref="J38:J39"/>
    <mergeCell ref="P21:P22"/>
    <mergeCell ref="Q2:Q3"/>
    <mergeCell ref="R2:R3"/>
    <mergeCell ref="S2:S3"/>
    <mergeCell ref="M2:M3"/>
    <mergeCell ref="N2:N3"/>
    <mergeCell ref="O2:O3"/>
    <mergeCell ref="P2:P3"/>
    <mergeCell ref="R11:R12"/>
    <mergeCell ref="S11:S12"/>
    <mergeCell ref="M11:M12"/>
    <mergeCell ref="N11:N12"/>
    <mergeCell ref="O11:O12"/>
    <mergeCell ref="P11:P12"/>
    <mergeCell ref="Q11:Q12"/>
    <mergeCell ref="J11:J12"/>
    <mergeCell ref="K11:K12"/>
    <mergeCell ref="K2:K3"/>
    <mergeCell ref="L2:L3"/>
    <mergeCell ref="E2:E3"/>
    <mergeCell ref="F2:F3"/>
    <mergeCell ref="G2:G3"/>
    <mergeCell ref="H2:H3"/>
    <mergeCell ref="I2:I3"/>
    <mergeCell ref="J2:J3"/>
    <mergeCell ref="L11:L12"/>
  </mergeCells>
  <printOptions horizontalCentered="1"/>
  <pageMargins left="0.19685039370078741" right="0.15748031496062992" top="0.78740157480314965" bottom="0.78740157480314965" header="0.39370078740157483" footer="0.39370078740157483"/>
  <pageSetup paperSize="9" scale="50" fitToHeight="0" orientation="landscape" r:id="rId1"/>
  <headerFooter alignWithMargins="0">
    <oddFooter>&amp;L&amp;A&amp;C&amp;D</oddFooter>
  </headerFooter>
  <ignoredErrors>
    <ignoredError sqref="K91:N92" unlockedFormula="1"/>
  </ignoredError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29">
    <pageSetUpPr fitToPage="1"/>
  </sheetPr>
  <dimension ref="A1:AC539"/>
  <sheetViews>
    <sheetView defaultGridColor="0" colorId="23" zoomScale="80" zoomScaleNormal="80" workbookViewId="0"/>
  </sheetViews>
  <sheetFormatPr defaultColWidth="9.140625" defaultRowHeight="13.5" x14ac:dyDescent="0.3"/>
  <cols>
    <col min="1" max="1" width="2.42578125" style="946" customWidth="1"/>
    <col min="2" max="2" width="10.5703125" style="946" customWidth="1"/>
    <col min="3" max="3" width="42.140625" style="946" customWidth="1"/>
    <col min="4" max="4" width="15.7109375" style="946" customWidth="1"/>
    <col min="5" max="5" width="11.42578125" style="946" customWidth="1"/>
    <col min="6" max="6" width="13.42578125" style="946" customWidth="1"/>
    <col min="7" max="15" width="11.42578125" style="946" bestFit="1" customWidth="1"/>
    <col min="16" max="16" width="11.42578125" style="946" customWidth="1"/>
    <col min="17" max="17" width="11.42578125" style="946" bestFit="1" customWidth="1"/>
    <col min="18" max="19" width="11.42578125" style="946" customWidth="1"/>
    <col min="20" max="20" width="10.5703125" style="946" customWidth="1"/>
    <col min="21" max="21" width="12" style="946" customWidth="1"/>
    <col min="22" max="22" width="12.7109375" style="946" customWidth="1"/>
    <col min="23" max="29" width="10.5703125" style="946" customWidth="1"/>
    <col min="30" max="34" width="7.140625" style="946" customWidth="1"/>
    <col min="35" max="16384" width="9.140625" style="946"/>
  </cols>
  <sheetData>
    <row r="1" spans="1:29" ht="14.25" thickBot="1" x14ac:dyDescent="0.35">
      <c r="A1" s="667"/>
      <c r="B1" s="667"/>
      <c r="C1" s="667"/>
      <c r="D1" s="667"/>
      <c r="E1" s="590"/>
      <c r="F1" s="667"/>
      <c r="G1" s="667"/>
      <c r="H1" s="667"/>
      <c r="I1" s="667"/>
      <c r="J1" s="667"/>
      <c r="K1" s="667"/>
      <c r="L1" s="667"/>
      <c r="M1" s="667"/>
      <c r="N1" s="667"/>
      <c r="O1" s="667"/>
      <c r="P1" s="667"/>
      <c r="Q1" s="667"/>
      <c r="R1" s="667"/>
      <c r="S1" s="667"/>
      <c r="T1" s="667"/>
    </row>
    <row r="2" spans="1:29" ht="14.25" x14ac:dyDescent="0.3">
      <c r="A2" s="666"/>
      <c r="B2" s="1156" t="s">
        <v>17</v>
      </c>
      <c r="C2" s="839" t="str">
        <f>IF('0 Úvod'!$M$10="English",Slovnik!D276,Slovnik!C276)</f>
        <v>Externí náklady (CZK)</v>
      </c>
      <c r="D2" s="898"/>
      <c r="E2" s="2363">
        <f>'1 CIN'!G3</f>
        <v>2021</v>
      </c>
      <c r="F2" s="2361">
        <f t="shared" ref="F2:S2" si="0">E2+1</f>
        <v>2022</v>
      </c>
      <c r="G2" s="2361">
        <f t="shared" si="0"/>
        <v>2023</v>
      </c>
      <c r="H2" s="2361">
        <f t="shared" si="0"/>
        <v>2024</v>
      </c>
      <c r="I2" s="2361">
        <f t="shared" si="0"/>
        <v>2025</v>
      </c>
      <c r="J2" s="2361">
        <f t="shared" si="0"/>
        <v>2026</v>
      </c>
      <c r="K2" s="2361">
        <f t="shared" si="0"/>
        <v>2027</v>
      </c>
      <c r="L2" s="2361">
        <f t="shared" si="0"/>
        <v>2028</v>
      </c>
      <c r="M2" s="2361">
        <f t="shared" si="0"/>
        <v>2029</v>
      </c>
      <c r="N2" s="2361">
        <f t="shared" si="0"/>
        <v>2030</v>
      </c>
      <c r="O2" s="2361">
        <f t="shared" si="0"/>
        <v>2031</v>
      </c>
      <c r="P2" s="2361">
        <f t="shared" si="0"/>
        <v>2032</v>
      </c>
      <c r="Q2" s="2361">
        <f t="shared" si="0"/>
        <v>2033</v>
      </c>
      <c r="R2" s="2361">
        <f t="shared" si="0"/>
        <v>2034</v>
      </c>
      <c r="S2" s="2365">
        <f t="shared" si="0"/>
        <v>2035</v>
      </c>
      <c r="T2" s="669"/>
      <c r="U2" s="669"/>
      <c r="V2" s="669"/>
      <c r="W2" s="669"/>
      <c r="X2" s="669"/>
      <c r="Y2" s="669"/>
      <c r="Z2" s="669"/>
      <c r="AA2" s="669"/>
      <c r="AB2" s="669"/>
      <c r="AC2" s="669"/>
    </row>
    <row r="3" spans="1:29" ht="15" thickBot="1" x14ac:dyDescent="0.35">
      <c r="A3" s="666"/>
      <c r="B3" s="694" t="s">
        <v>23</v>
      </c>
      <c r="C3" s="840" t="str">
        <f>IF('0 Úvod'!$M$10="English",Slovnik!D277,Slovnik!C277)</f>
        <v>Scénář s projektem</v>
      </c>
      <c r="D3" s="696" t="str">
        <f>IF('0 Úvod'!$M$10="English",Slovnik!$D$284,Slovnik!$C$284)</f>
        <v>Celkem</v>
      </c>
      <c r="E3" s="2364"/>
      <c r="F3" s="2362"/>
      <c r="G3" s="2362"/>
      <c r="H3" s="2362"/>
      <c r="I3" s="2362"/>
      <c r="J3" s="2362"/>
      <c r="K3" s="2362"/>
      <c r="L3" s="2362"/>
      <c r="M3" s="2362"/>
      <c r="N3" s="2362"/>
      <c r="O3" s="2362"/>
      <c r="P3" s="2362"/>
      <c r="Q3" s="2362"/>
      <c r="R3" s="2362"/>
      <c r="S3" s="2366"/>
      <c r="T3" s="669"/>
      <c r="U3" s="669"/>
      <c r="V3" s="669"/>
      <c r="W3" s="669"/>
      <c r="X3" s="669"/>
      <c r="Y3" s="669"/>
      <c r="Z3" s="669"/>
      <c r="AA3" s="669"/>
      <c r="AB3" s="669"/>
      <c r="AC3" s="669"/>
    </row>
    <row r="4" spans="1:29" ht="14.25" x14ac:dyDescent="0.3">
      <c r="A4" s="666"/>
      <c r="B4" s="2436" t="str">
        <f>IF('0 Úvod'!$M$10="English",Slovnik!$D$268,Slovnik!$C$268)</f>
        <v>ŽELEZNIČNÍ osobní doprava</v>
      </c>
      <c r="C4" s="604" t="str">
        <f>IF('0 Úvod'!$M$10="English",Slovnik!D278,Slovnik!C278)</f>
        <v>Nehody</v>
      </c>
      <c r="D4" s="605">
        <f t="shared" ref="D4:D34" si="1">SUM(E4:S4,E38:S38)</f>
        <v>-75749.012947667565</v>
      </c>
      <c r="E4" s="2215"/>
      <c r="F4" s="692"/>
      <c r="G4" s="692"/>
      <c r="H4" s="692"/>
      <c r="I4" s="692"/>
      <c r="J4" s="692"/>
      <c r="K4" s="692"/>
      <c r="L4" s="692"/>
      <c r="M4" s="692"/>
      <c r="N4" s="692"/>
      <c r="O4" s="692"/>
      <c r="P4" s="692"/>
      <c r="Q4" s="692"/>
      <c r="R4" s="692"/>
      <c r="S4" s="2204"/>
      <c r="T4" s="1981"/>
      <c r="U4" s="590"/>
      <c r="V4" s="590"/>
      <c r="W4" s="590"/>
      <c r="X4" s="590"/>
      <c r="Y4" s="590"/>
      <c r="Z4" s="590"/>
      <c r="AA4" s="590"/>
      <c r="AB4" s="590"/>
      <c r="AC4" s="590"/>
    </row>
    <row r="5" spans="1:29" ht="14.25" x14ac:dyDescent="0.3">
      <c r="A5" s="666"/>
      <c r="B5" s="2437"/>
      <c r="C5" s="607" t="str">
        <f>IF('0 Úvod'!$M$10="English",Slovnik!D279,Slovnik!C279)</f>
        <v>Hluk</v>
      </c>
      <c r="D5" s="608">
        <f t="shared" si="1"/>
        <v>-155484.81605047555</v>
      </c>
      <c r="E5" s="2209"/>
      <c r="F5" s="693"/>
      <c r="G5" s="693"/>
      <c r="H5" s="693"/>
      <c r="I5" s="693"/>
      <c r="J5" s="693"/>
      <c r="K5" s="693"/>
      <c r="L5" s="693"/>
      <c r="M5" s="693"/>
      <c r="N5" s="693"/>
      <c r="O5" s="693"/>
      <c r="P5" s="693"/>
      <c r="Q5" s="693"/>
      <c r="R5" s="693"/>
      <c r="S5" s="2205"/>
      <c r="T5" s="1981"/>
      <c r="U5" s="590"/>
      <c r="V5" s="590"/>
      <c r="W5" s="590"/>
      <c r="X5" s="590"/>
      <c r="Y5" s="590"/>
      <c r="Z5" s="590"/>
      <c r="AA5" s="590"/>
      <c r="AB5" s="590"/>
      <c r="AC5" s="590"/>
    </row>
    <row r="6" spans="1:29" ht="14.25" x14ac:dyDescent="0.3">
      <c r="A6" s="666"/>
      <c r="B6" s="2437"/>
      <c r="C6" s="607" t="str">
        <f>IF('0 Úvod'!$M$10="English",Slovnik!D280,Slovnik!C280)</f>
        <v>Znečištění ovzduší</v>
      </c>
      <c r="D6" s="608">
        <f t="shared" si="1"/>
        <v>-13169.159437124905</v>
      </c>
      <c r="E6" s="2209"/>
      <c r="F6" s="693"/>
      <c r="G6" s="693"/>
      <c r="H6" s="693"/>
      <c r="I6" s="693"/>
      <c r="J6" s="693"/>
      <c r="K6" s="693"/>
      <c r="L6" s="693"/>
      <c r="M6" s="693"/>
      <c r="N6" s="693"/>
      <c r="O6" s="693"/>
      <c r="P6" s="693"/>
      <c r="Q6" s="693"/>
      <c r="R6" s="693"/>
      <c r="S6" s="2205"/>
      <c r="T6" s="1981"/>
      <c r="U6" s="590"/>
      <c r="V6" s="590"/>
      <c r="W6" s="590"/>
      <c r="X6" s="590"/>
      <c r="Y6" s="590"/>
      <c r="Z6" s="590"/>
      <c r="AA6" s="590"/>
      <c r="AB6" s="590"/>
      <c r="AC6" s="590"/>
    </row>
    <row r="7" spans="1:29" ht="14.25" x14ac:dyDescent="0.3">
      <c r="A7" s="666"/>
      <c r="B7" s="2437"/>
      <c r="C7" s="613" t="str">
        <f>IF('0 Úvod'!$M$10="English",Slovnik!D281,Slovnik!C281)</f>
        <v>Klimatické změny</v>
      </c>
      <c r="D7" s="1238">
        <f t="shared" si="1"/>
        <v>-7632.9516532467924</v>
      </c>
      <c r="E7" s="2208"/>
      <c r="F7" s="1242"/>
      <c r="G7" s="1242"/>
      <c r="H7" s="1242"/>
      <c r="I7" s="1242"/>
      <c r="J7" s="1242"/>
      <c r="K7" s="1242"/>
      <c r="L7" s="1242"/>
      <c r="M7" s="1242"/>
      <c r="N7" s="1242"/>
      <c r="O7" s="1242"/>
      <c r="P7" s="1242"/>
      <c r="Q7" s="1242"/>
      <c r="R7" s="1242"/>
      <c r="S7" s="2207"/>
      <c r="T7" s="1981"/>
      <c r="U7" s="590"/>
      <c r="V7" s="590"/>
      <c r="W7" s="590"/>
      <c r="X7" s="590"/>
      <c r="Y7" s="590"/>
      <c r="Z7" s="590"/>
      <c r="AA7" s="590"/>
      <c r="AB7" s="590"/>
      <c r="AC7" s="590"/>
    </row>
    <row r="8" spans="1:29" s="1145" customFormat="1" ht="14.25" x14ac:dyDescent="0.3">
      <c r="A8" s="1141"/>
      <c r="B8" s="2438" t="str">
        <f>IF('0 Úvod'!$M$10="English",Slovnik!$D$269,Slovnik!$C$269)</f>
        <v>ŽELEZNIČNÍ nákladní doprava</v>
      </c>
      <c r="C8" s="1146" t="str">
        <f>IF('0 Úvod'!$M$10="English",Slovnik!D278,Slovnik!C278)</f>
        <v>Nehody</v>
      </c>
      <c r="D8" s="1153">
        <f t="shared" si="1"/>
        <v>1895557.685611452</v>
      </c>
      <c r="E8" s="2216"/>
      <c r="F8" s="1142"/>
      <c r="G8" s="1142"/>
      <c r="H8" s="1142"/>
      <c r="I8" s="1142"/>
      <c r="J8" s="1142">
        <f>(J254*$U$254*$F$189/1000)*J524*$J$247</f>
        <v>61855.544721403799</v>
      </c>
      <c r="K8" s="1142">
        <f t="shared" ref="K8:S8" si="2">(K254*$U$254*$F$189/1000)*K524*$J$247</f>
        <v>62877.398320201391</v>
      </c>
      <c r="L8" s="1142">
        <f t="shared" si="2"/>
        <v>63916.13294045112</v>
      </c>
      <c r="M8" s="1142">
        <f t="shared" si="2"/>
        <v>64972.027456627373</v>
      </c>
      <c r="N8" s="1142">
        <f t="shared" si="2"/>
        <v>66045.365350210865</v>
      </c>
      <c r="O8" s="1142">
        <f t="shared" si="2"/>
        <v>67136.434785796358</v>
      </c>
      <c r="P8" s="1142">
        <f t="shared" si="2"/>
        <v>68245.528688457722</v>
      </c>
      <c r="Q8" s="1142">
        <f t="shared" si="2"/>
        <v>69372.944822391059</v>
      </c>
      <c r="R8" s="1142">
        <f t="shared" si="2"/>
        <v>70518.985870856952</v>
      </c>
      <c r="S8" s="2217">
        <f t="shared" si="2"/>
        <v>71683.959517443509</v>
      </c>
      <c r="T8" s="2038"/>
      <c r="U8" s="1143"/>
      <c r="V8" s="1143"/>
      <c r="W8" s="1143"/>
      <c r="X8" s="1143"/>
      <c r="Y8" s="1143"/>
      <c r="Z8" s="1143"/>
      <c r="AA8" s="1143"/>
      <c r="AB8" s="1143"/>
      <c r="AC8" s="1144"/>
    </row>
    <row r="9" spans="1:29" s="1145" customFormat="1" ht="14.25" x14ac:dyDescent="0.3">
      <c r="A9" s="1141"/>
      <c r="B9" s="2439"/>
      <c r="C9" s="1146" t="str">
        <f>IF('0 Úvod'!$M$10="English",Slovnik!D279,Slovnik!C279)</f>
        <v>Hluk</v>
      </c>
      <c r="D9" s="1153">
        <f t="shared" si="1"/>
        <v>10109640.989927744</v>
      </c>
      <c r="E9" s="2216"/>
      <c r="F9" s="1142"/>
      <c r="G9" s="1142"/>
      <c r="H9" s="1142"/>
      <c r="I9" s="1142"/>
      <c r="J9" s="1142">
        <f>(J254*$U$254*$F$212/1000)*J524*$J$247</f>
        <v>329896.23851415364</v>
      </c>
      <c r="K9" s="1142">
        <f t="shared" ref="K9:S9" si="3">(K254*$U$254*$F$212/1000)*K524*$J$247</f>
        <v>335346.12437440746</v>
      </c>
      <c r="L9" s="1142">
        <f t="shared" si="3"/>
        <v>340886.04234907264</v>
      </c>
      <c r="M9" s="1142">
        <f t="shared" si="3"/>
        <v>346517.47976867936</v>
      </c>
      <c r="N9" s="1142">
        <f t="shared" si="3"/>
        <v>352241.948534458</v>
      </c>
      <c r="O9" s="1142">
        <f t="shared" si="3"/>
        <v>358060.98552424723</v>
      </c>
      <c r="P9" s="1142">
        <f t="shared" si="3"/>
        <v>363976.15300510789</v>
      </c>
      <c r="Q9" s="1142">
        <f t="shared" si="3"/>
        <v>369989.03905275225</v>
      </c>
      <c r="R9" s="1142">
        <f t="shared" si="3"/>
        <v>376101.25797790376</v>
      </c>
      <c r="S9" s="2217">
        <f t="shared" si="3"/>
        <v>382314.45075969875</v>
      </c>
      <c r="T9" s="2038"/>
      <c r="U9" s="1143"/>
      <c r="V9" s="1143"/>
      <c r="W9" s="1143"/>
      <c r="X9" s="1143"/>
      <c r="Y9" s="1143"/>
      <c r="Z9" s="1143"/>
      <c r="AA9" s="1143"/>
      <c r="AB9" s="1143"/>
      <c r="AC9" s="1144"/>
    </row>
    <row r="10" spans="1:29" s="1145" customFormat="1" ht="14.25" x14ac:dyDescent="0.3">
      <c r="A10" s="1141"/>
      <c r="B10" s="2439"/>
      <c r="C10" s="1146" t="str">
        <f>IF('0 Úvod'!$M$10="English",Slovnik!D280,Slovnik!C280)</f>
        <v>Znečištění ovzduší</v>
      </c>
      <c r="D10" s="1153">
        <f t="shared" si="1"/>
        <v>1633709.847677089</v>
      </c>
      <c r="E10" s="2216"/>
      <c r="F10" s="1142"/>
      <c r="G10" s="1142"/>
      <c r="H10" s="1142"/>
      <c r="I10" s="1142"/>
      <c r="J10" s="1142">
        <f>J254/$U$254*($E$224*$F$244+$F$224*$G$244+$H$225*$H$244+$I$225*$I$244)*J524/1000^2*$J$247</f>
        <v>53310.966641561688</v>
      </c>
      <c r="K10" s="1142">
        <f t="shared" ref="K10:S10" si="4">K254/$U$254*($E$224*$F$244+$F$224*$G$244+$H$225*$H$244+$I$225*$I$244)*K524/1000^2*$J$247</f>
        <v>54191.663810480284</v>
      </c>
      <c r="L10" s="1142">
        <f t="shared" si="4"/>
        <v>55086.910096629421</v>
      </c>
      <c r="M10" s="1142">
        <f t="shared" si="4"/>
        <v>55996.945851425742</v>
      </c>
      <c r="N10" s="1142">
        <f t="shared" si="4"/>
        <v>56922.015396891307</v>
      </c>
      <c r="O10" s="1142">
        <f t="shared" si="4"/>
        <v>57862.367091247957</v>
      </c>
      <c r="P10" s="1142">
        <f t="shared" si="4"/>
        <v>58818.253395595377</v>
      </c>
      <c r="Q10" s="1142">
        <f t="shared" si="4"/>
        <v>59789.930941690625</v>
      </c>
      <c r="R10" s="1142">
        <f t="shared" si="4"/>
        <v>60777.660600847346</v>
      </c>
      <c r="S10" s="2217">
        <f t="shared" si="4"/>
        <v>61781.707553973363</v>
      </c>
      <c r="T10" s="2038"/>
      <c r="U10" s="1143"/>
      <c r="V10" s="1143"/>
      <c r="W10" s="1143"/>
      <c r="X10" s="1143"/>
      <c r="Y10" s="1143"/>
      <c r="Z10" s="1143"/>
      <c r="AA10" s="1143"/>
      <c r="AB10" s="1143"/>
      <c r="AC10" s="1144"/>
    </row>
    <row r="11" spans="1:29" s="1145" customFormat="1" ht="15" thickBot="1" x14ac:dyDescent="0.35">
      <c r="A11" s="1141"/>
      <c r="B11" s="2440"/>
      <c r="C11" s="1155" t="str">
        <f>IF('0 Úvod'!$M$10="English",Slovnik!D281,Slovnik!C281)</f>
        <v>Klimatické změny</v>
      </c>
      <c r="D11" s="1154">
        <f t="shared" si="1"/>
        <v>528375.34204895434</v>
      </c>
      <c r="E11" s="2218"/>
      <c r="F11" s="1150"/>
      <c r="G11" s="1150"/>
      <c r="H11" s="1150"/>
      <c r="I11" s="1150"/>
      <c r="J11" s="1150">
        <f>J254/$U$254*($D$224*$E$244)*J524/1000^2*$J$247</f>
        <v>17241.862301464891</v>
      </c>
      <c r="K11" s="1150">
        <f t="shared" ref="K11:S11" si="5">K254/$U$254*($D$224*$E$244)*K524/1000^2*$J$247</f>
        <v>17526.697866685096</v>
      </c>
      <c r="L11" s="1150">
        <f t="shared" si="5"/>
        <v>17816.238915442733</v>
      </c>
      <c r="M11" s="1150">
        <f t="shared" si="5"/>
        <v>18110.563182325848</v>
      </c>
      <c r="N11" s="1150">
        <f t="shared" si="5"/>
        <v>18409.749686097875</v>
      </c>
      <c r="O11" s="1150">
        <f t="shared" si="5"/>
        <v>18713.878750912212</v>
      </c>
      <c r="P11" s="1150">
        <f t="shared" si="5"/>
        <v>19023.032027877285</v>
      </c>
      <c r="Q11" s="1150">
        <f t="shared" si="5"/>
        <v>19337.292516977821</v>
      </c>
      <c r="R11" s="1150">
        <f t="shared" si="5"/>
        <v>19656.744589358292</v>
      </c>
      <c r="S11" s="2219">
        <f t="shared" si="5"/>
        <v>19981.474009974492</v>
      </c>
      <c r="T11" s="2038"/>
      <c r="U11" s="1143"/>
      <c r="V11" s="1143"/>
      <c r="W11" s="1143"/>
      <c r="X11" s="1143"/>
      <c r="Y11" s="1143"/>
      <c r="Z11" s="1143"/>
      <c r="AA11" s="1143"/>
      <c r="AB11" s="1143"/>
      <c r="AC11" s="1144"/>
    </row>
    <row r="12" spans="1:29" ht="14.25" x14ac:dyDescent="0.3">
      <c r="A12" s="666"/>
      <c r="B12" s="2441" t="str">
        <f>IF('0 Úvod'!$M$10="English",Slovnik!$D$270,Slovnik!$C$270)</f>
        <v>SILNIČNÍ osobní doprava</v>
      </c>
      <c r="C12" s="607" t="str">
        <f>IF('0 Úvod'!$M$10="English",Slovnik!D278,Slovnik!C278)</f>
        <v>Nehody</v>
      </c>
      <c r="D12" s="608">
        <f t="shared" si="1"/>
        <v>2681815.1401022407</v>
      </c>
      <c r="E12" s="691"/>
      <c r="F12" s="691"/>
      <c r="G12" s="691"/>
      <c r="H12" s="691"/>
      <c r="I12" s="691"/>
      <c r="J12" s="691"/>
      <c r="K12" s="691"/>
      <c r="L12" s="691"/>
      <c r="M12" s="691"/>
      <c r="N12" s="691"/>
      <c r="O12" s="691"/>
      <c r="P12" s="691"/>
      <c r="Q12" s="691"/>
      <c r="R12" s="691"/>
      <c r="S12" s="691"/>
      <c r="T12" s="2025"/>
      <c r="U12" s="587"/>
      <c r="V12" s="587"/>
      <c r="W12" s="587"/>
      <c r="X12" s="587"/>
      <c r="Y12" s="587"/>
      <c r="Z12" s="587"/>
      <c r="AA12" s="587"/>
      <c r="AB12" s="587"/>
      <c r="AC12" s="590"/>
    </row>
    <row r="13" spans="1:29" ht="14.25" x14ac:dyDescent="0.3">
      <c r="A13" s="666"/>
      <c r="B13" s="2437"/>
      <c r="C13" s="607" t="str">
        <f>IF('0 Úvod'!$M$10="English",Slovnik!D279,Slovnik!C279)</f>
        <v>Hluk</v>
      </c>
      <c r="D13" s="608">
        <f t="shared" si="1"/>
        <v>345385.28319498559</v>
      </c>
      <c r="E13" s="691"/>
      <c r="F13" s="691"/>
      <c r="G13" s="691"/>
      <c r="H13" s="691"/>
      <c r="I13" s="691"/>
      <c r="J13" s="691"/>
      <c r="K13" s="691"/>
      <c r="L13" s="691"/>
      <c r="M13" s="691"/>
      <c r="N13" s="691"/>
      <c r="O13" s="691"/>
      <c r="P13" s="691"/>
      <c r="Q13" s="691"/>
      <c r="R13" s="691"/>
      <c r="S13" s="691"/>
      <c r="T13" s="2025"/>
      <c r="U13" s="587"/>
      <c r="V13" s="587"/>
      <c r="W13" s="587"/>
      <c r="X13" s="587"/>
      <c r="Y13" s="587"/>
      <c r="Z13" s="587"/>
      <c r="AA13" s="587"/>
      <c r="AB13" s="587"/>
      <c r="AC13" s="590"/>
    </row>
    <row r="14" spans="1:29" ht="14.25" x14ac:dyDescent="0.3">
      <c r="A14" s="666"/>
      <c r="B14" s="2437"/>
      <c r="C14" s="607" t="str">
        <f>IF('0 Úvod'!$M$10="English",Slovnik!D280,Slovnik!C280)</f>
        <v>Znečištění ovzduší</v>
      </c>
      <c r="D14" s="608">
        <f t="shared" si="1"/>
        <v>19074.991046399948</v>
      </c>
      <c r="E14" s="691"/>
      <c r="F14" s="691"/>
      <c r="G14" s="691"/>
      <c r="H14" s="691"/>
      <c r="I14" s="691"/>
      <c r="J14" s="691"/>
      <c r="K14" s="691"/>
      <c r="L14" s="691"/>
      <c r="M14" s="691"/>
      <c r="N14" s="691"/>
      <c r="O14" s="691"/>
      <c r="P14" s="691"/>
      <c r="Q14" s="691"/>
      <c r="R14" s="691"/>
      <c r="S14" s="691"/>
      <c r="T14" s="2025"/>
      <c r="U14" s="587"/>
      <c r="V14" s="587"/>
      <c r="W14" s="587"/>
      <c r="X14" s="587"/>
      <c r="Y14" s="587"/>
      <c r="Z14" s="587"/>
      <c r="AA14" s="587"/>
      <c r="AB14" s="587"/>
      <c r="AC14" s="590"/>
    </row>
    <row r="15" spans="1:29" ht="14.25" x14ac:dyDescent="0.3">
      <c r="A15" s="666"/>
      <c r="B15" s="2437"/>
      <c r="C15" s="864" t="str">
        <f>IF('0 Úvod'!$M$10="English",Slovnik!D281,Slovnik!C281)</f>
        <v>Klimatické změny</v>
      </c>
      <c r="D15" s="1238">
        <f t="shared" si="1"/>
        <v>8358.787878572035</v>
      </c>
      <c r="E15" s="1241"/>
      <c r="F15" s="1241"/>
      <c r="G15" s="1241"/>
      <c r="H15" s="1241"/>
      <c r="I15" s="1241"/>
      <c r="J15" s="1241"/>
      <c r="K15" s="1241"/>
      <c r="L15" s="1241"/>
      <c r="M15" s="1241"/>
      <c r="N15" s="1241"/>
      <c r="O15" s="1241"/>
      <c r="P15" s="1241"/>
      <c r="Q15" s="1241"/>
      <c r="R15" s="1241"/>
      <c r="S15" s="1241"/>
      <c r="T15" s="2025"/>
      <c r="U15" s="587"/>
      <c r="V15" s="587"/>
      <c r="W15" s="587"/>
      <c r="X15" s="587"/>
      <c r="Y15" s="587"/>
      <c r="Z15" s="587"/>
      <c r="AA15" s="587"/>
      <c r="AB15" s="587"/>
      <c r="AC15" s="590"/>
    </row>
    <row r="16" spans="1:29" s="1145" customFormat="1" ht="14.25" x14ac:dyDescent="0.3">
      <c r="A16" s="1141"/>
      <c r="B16" s="2438" t="str">
        <f>IF('0 Úvod'!$M$10="English",Slovnik!$D$271,Slovnik!$C$271)</f>
        <v>SILNIČNÍ nákladní doprava</v>
      </c>
      <c r="C16" s="1146" t="str">
        <f>IF('0 Úvod'!$M$10="English",Slovnik!D278,Slovnik!C278)</f>
        <v>Nehody</v>
      </c>
      <c r="D16" s="1153">
        <f t="shared" si="1"/>
        <v>0</v>
      </c>
      <c r="E16" s="2034"/>
      <c r="F16" s="2034"/>
      <c r="G16" s="2034"/>
      <c r="H16" s="2034"/>
      <c r="I16" s="2034"/>
      <c r="J16" s="2034"/>
      <c r="K16" s="2034"/>
      <c r="L16" s="2034"/>
      <c r="M16" s="2034"/>
      <c r="N16" s="2034"/>
      <c r="O16" s="2034"/>
      <c r="P16" s="2034"/>
      <c r="Q16" s="2034"/>
      <c r="R16" s="2034"/>
      <c r="S16" s="2034"/>
      <c r="T16" s="2038"/>
      <c r="U16" s="1143"/>
      <c r="V16" s="1143"/>
      <c r="W16" s="1143"/>
      <c r="X16" s="1143"/>
      <c r="Y16" s="1143"/>
      <c r="Z16" s="1143"/>
      <c r="AA16" s="1143"/>
      <c r="AB16" s="1143"/>
      <c r="AC16" s="1144"/>
    </row>
    <row r="17" spans="1:29" s="1145" customFormat="1" ht="14.25" x14ac:dyDescent="0.3">
      <c r="A17" s="1141"/>
      <c r="B17" s="2439"/>
      <c r="C17" s="1146" t="str">
        <f>IF('0 Úvod'!$M$10="English",Slovnik!D279,Slovnik!C279)</f>
        <v>Hluk</v>
      </c>
      <c r="D17" s="1153">
        <f t="shared" si="1"/>
        <v>0</v>
      </c>
      <c r="E17" s="1142"/>
      <c r="F17" s="1142"/>
      <c r="G17" s="1142"/>
      <c r="H17" s="1142"/>
      <c r="I17" s="1142"/>
      <c r="J17" s="1142"/>
      <c r="K17" s="1142"/>
      <c r="L17" s="1142"/>
      <c r="M17" s="1142"/>
      <c r="N17" s="1142"/>
      <c r="O17" s="1142"/>
      <c r="P17" s="1142"/>
      <c r="Q17" s="1142"/>
      <c r="R17" s="1142"/>
      <c r="S17" s="1142"/>
      <c r="T17" s="2038"/>
      <c r="U17" s="1143"/>
      <c r="V17" s="1143"/>
      <c r="W17" s="1143"/>
      <c r="X17" s="1143"/>
      <c r="Y17" s="1143"/>
      <c r="Z17" s="1143"/>
      <c r="AA17" s="1143"/>
      <c r="AB17" s="1143"/>
      <c r="AC17" s="1144"/>
    </row>
    <row r="18" spans="1:29" s="1145" customFormat="1" ht="14.25" x14ac:dyDescent="0.3">
      <c r="A18" s="1141"/>
      <c r="B18" s="2439"/>
      <c r="C18" s="1146" t="str">
        <f>IF('0 Úvod'!$M$10="English",Slovnik!D280,Slovnik!C280)</f>
        <v>Znečištění ovzduší</v>
      </c>
      <c r="D18" s="1153">
        <f t="shared" si="1"/>
        <v>0</v>
      </c>
      <c r="E18" s="1142"/>
      <c r="F18" s="1142"/>
      <c r="G18" s="1142"/>
      <c r="H18" s="1142"/>
      <c r="I18" s="1142"/>
      <c r="J18" s="1142"/>
      <c r="K18" s="1142"/>
      <c r="L18" s="1142"/>
      <c r="M18" s="1142"/>
      <c r="N18" s="1142"/>
      <c r="O18" s="1142"/>
      <c r="P18" s="1142"/>
      <c r="Q18" s="1142"/>
      <c r="R18" s="1142"/>
      <c r="S18" s="1142"/>
      <c r="T18" s="2038"/>
      <c r="U18" s="1143"/>
      <c r="V18" s="1143"/>
      <c r="W18" s="1143"/>
      <c r="X18" s="1143"/>
      <c r="Y18" s="1143"/>
      <c r="Z18" s="1143"/>
      <c r="AA18" s="1143"/>
      <c r="AB18" s="1143"/>
      <c r="AC18" s="1144"/>
    </row>
    <row r="19" spans="1:29" s="1145" customFormat="1" ht="15" thickBot="1" x14ac:dyDescent="0.35">
      <c r="A19" s="1141"/>
      <c r="B19" s="2442"/>
      <c r="C19" s="1146" t="str">
        <f>IF('0 Úvod'!$M$10="English",Slovnik!D281,Slovnik!C281)</f>
        <v>Klimatické změny</v>
      </c>
      <c r="D19" s="1153">
        <f t="shared" si="1"/>
        <v>0</v>
      </c>
      <c r="E19" s="1142"/>
      <c r="F19" s="1142"/>
      <c r="G19" s="1142"/>
      <c r="H19" s="1142"/>
      <c r="I19" s="1142"/>
      <c r="J19" s="1142"/>
      <c r="K19" s="1142"/>
      <c r="L19" s="1142"/>
      <c r="M19" s="1142"/>
      <c r="N19" s="1142"/>
      <c r="O19" s="1142"/>
      <c r="P19" s="1142"/>
      <c r="Q19" s="1142"/>
      <c r="R19" s="1142"/>
      <c r="S19" s="1142"/>
      <c r="T19" s="2038"/>
      <c r="U19" s="1143"/>
      <c r="V19" s="1143"/>
      <c r="W19" s="1143"/>
      <c r="X19" s="1143"/>
      <c r="Y19" s="1143"/>
      <c r="Z19" s="1143"/>
      <c r="AA19" s="1143"/>
      <c r="AB19" s="1143"/>
      <c r="AC19" s="1144"/>
    </row>
    <row r="20" spans="1:29" ht="14.25" x14ac:dyDescent="0.3">
      <c r="A20" s="666"/>
      <c r="B20" s="2436" t="str">
        <f>IF('0 Úvod'!$M$10="English",Slovnik!$D$272,Slovnik!$C$272)</f>
        <v>VODNÍ os. doprava</v>
      </c>
      <c r="C20" s="1236" t="str">
        <f>IF('0 Úvod'!$M$10="English",Slovnik!D278,Slovnik!C278)</f>
        <v>Nehody</v>
      </c>
      <c r="D20" s="605">
        <f t="shared" si="1"/>
        <v>0</v>
      </c>
      <c r="E20" s="1151"/>
      <c r="F20" s="1151"/>
      <c r="G20" s="1151"/>
      <c r="H20" s="1151"/>
      <c r="I20" s="1151"/>
      <c r="J20" s="1151"/>
      <c r="K20" s="1151"/>
      <c r="L20" s="1151"/>
      <c r="M20" s="1151"/>
      <c r="N20" s="1151"/>
      <c r="O20" s="1151"/>
      <c r="P20" s="1151"/>
      <c r="Q20" s="1151"/>
      <c r="R20" s="1151"/>
      <c r="S20" s="1151"/>
      <c r="T20" s="2025"/>
      <c r="U20" s="587"/>
      <c r="V20" s="587"/>
      <c r="W20" s="587"/>
      <c r="X20" s="587"/>
      <c r="Y20" s="587"/>
      <c r="Z20" s="587"/>
      <c r="AA20" s="587"/>
      <c r="AB20" s="587"/>
      <c r="AC20" s="590"/>
    </row>
    <row r="21" spans="1:29" ht="14.25" x14ac:dyDescent="0.3">
      <c r="A21" s="666"/>
      <c r="B21" s="2437"/>
      <c r="C21" s="1237" t="str">
        <f>IF('0 Úvod'!$M$10="English",Slovnik!D279,Slovnik!C279)</f>
        <v>Hluk</v>
      </c>
      <c r="D21" s="1238">
        <f t="shared" si="1"/>
        <v>0</v>
      </c>
      <c r="E21" s="691"/>
      <c r="F21" s="691"/>
      <c r="G21" s="691"/>
      <c r="H21" s="691"/>
      <c r="I21" s="691"/>
      <c r="J21" s="691"/>
      <c r="K21" s="691"/>
      <c r="L21" s="691"/>
      <c r="M21" s="691"/>
      <c r="N21" s="691"/>
      <c r="O21" s="691"/>
      <c r="P21" s="691"/>
      <c r="Q21" s="691"/>
      <c r="R21" s="691"/>
      <c r="S21" s="691"/>
      <c r="T21" s="2025"/>
      <c r="U21" s="587"/>
      <c r="V21" s="587"/>
      <c r="W21" s="587"/>
      <c r="X21" s="587"/>
      <c r="Y21" s="587"/>
      <c r="Z21" s="587"/>
      <c r="AA21" s="587"/>
      <c r="AB21" s="587"/>
      <c r="AC21" s="590"/>
    </row>
    <row r="22" spans="1:29" s="1145" customFormat="1" ht="14.25" x14ac:dyDescent="0.3">
      <c r="A22" s="1141"/>
      <c r="B22" s="2438" t="str">
        <f>IF('0 Úvod'!$M$10="English",Slovnik!$D$273,Slovnik!$C$273)</f>
        <v>VODNÍ nákladní doprava</v>
      </c>
      <c r="C22" s="1146" t="str">
        <f>IF('0 Úvod'!$M$10="English",Slovnik!D278,Slovnik!C278)</f>
        <v>Nehody</v>
      </c>
      <c r="D22" s="1153">
        <f t="shared" si="1"/>
        <v>0</v>
      </c>
      <c r="E22" s="2034"/>
      <c r="F22" s="2034"/>
      <c r="G22" s="2034"/>
      <c r="H22" s="2034"/>
      <c r="I22" s="2034"/>
      <c r="J22" s="2034"/>
      <c r="K22" s="2034"/>
      <c r="L22" s="2034"/>
      <c r="M22" s="2034"/>
      <c r="N22" s="2034"/>
      <c r="O22" s="2034"/>
      <c r="P22" s="2034"/>
      <c r="Q22" s="2034"/>
      <c r="R22" s="2034"/>
      <c r="S22" s="2034"/>
      <c r="T22" s="2038"/>
      <c r="U22" s="1143"/>
      <c r="V22" s="1143"/>
      <c r="W22" s="1143"/>
      <c r="X22" s="1143"/>
      <c r="Y22" s="1143"/>
      <c r="Z22" s="1143"/>
      <c r="AA22" s="1143"/>
      <c r="AB22" s="1143"/>
      <c r="AC22" s="1144"/>
    </row>
    <row r="23" spans="1:29" s="1145" customFormat="1" ht="14.25" x14ac:dyDescent="0.3">
      <c r="A23" s="1141"/>
      <c r="B23" s="2439"/>
      <c r="C23" s="1146" t="str">
        <f>IF('0 Úvod'!$M$10="English",Slovnik!D279,Slovnik!C279)</f>
        <v>Hluk</v>
      </c>
      <c r="D23" s="1153">
        <f t="shared" si="1"/>
        <v>0</v>
      </c>
      <c r="E23" s="1142"/>
      <c r="F23" s="1142"/>
      <c r="G23" s="1142"/>
      <c r="H23" s="1142"/>
      <c r="I23" s="1142"/>
      <c r="J23" s="1142"/>
      <c r="K23" s="1142"/>
      <c r="L23" s="1142"/>
      <c r="M23" s="1142"/>
      <c r="N23" s="1142"/>
      <c r="O23" s="1142"/>
      <c r="P23" s="1142"/>
      <c r="Q23" s="1142"/>
      <c r="R23" s="1142"/>
      <c r="S23" s="1142"/>
      <c r="T23" s="2038"/>
      <c r="U23" s="1143"/>
      <c r="V23" s="1143"/>
      <c r="W23" s="1143"/>
      <c r="X23" s="1143"/>
      <c r="Y23" s="1143"/>
      <c r="Z23" s="1143"/>
      <c r="AA23" s="1143"/>
      <c r="AB23" s="1143"/>
      <c r="AC23" s="1144"/>
    </row>
    <row r="24" spans="1:29" s="1145" customFormat="1" ht="14.25" x14ac:dyDescent="0.3">
      <c r="A24" s="1141"/>
      <c r="B24" s="2439"/>
      <c r="C24" s="1146" t="str">
        <f>IF('0 Úvod'!$M$10="English",Slovnik!D280,Slovnik!C280)</f>
        <v>Znečištění ovzduší</v>
      </c>
      <c r="D24" s="1153">
        <f t="shared" si="1"/>
        <v>0</v>
      </c>
      <c r="E24" s="1142"/>
      <c r="F24" s="1142"/>
      <c r="G24" s="1142"/>
      <c r="H24" s="1142"/>
      <c r="I24" s="1142"/>
      <c r="J24" s="1142"/>
      <c r="K24" s="1142"/>
      <c r="L24" s="1142"/>
      <c r="M24" s="1142"/>
      <c r="N24" s="1142"/>
      <c r="O24" s="1142"/>
      <c r="P24" s="1142"/>
      <c r="Q24" s="1142"/>
      <c r="R24" s="1142"/>
      <c r="S24" s="1142"/>
      <c r="T24" s="2038"/>
      <c r="U24" s="1143"/>
      <c r="V24" s="1143"/>
      <c r="W24" s="1143"/>
      <c r="X24" s="1143"/>
      <c r="Y24" s="1143"/>
      <c r="Z24" s="1143"/>
      <c r="AA24" s="1143"/>
      <c r="AB24" s="1143"/>
      <c r="AC24" s="1144"/>
    </row>
    <row r="25" spans="1:29" s="1145" customFormat="1" ht="15" thickBot="1" x14ac:dyDescent="0.35">
      <c r="A25" s="1141"/>
      <c r="B25" s="2440"/>
      <c r="C25" s="1155" t="str">
        <f>IF('0 Úvod'!$M$10="English",Slovnik!D281,Slovnik!C281)</f>
        <v>Klimatické změny</v>
      </c>
      <c r="D25" s="1154">
        <f t="shared" si="1"/>
        <v>0</v>
      </c>
      <c r="E25" s="1150"/>
      <c r="F25" s="1150"/>
      <c r="G25" s="1150"/>
      <c r="H25" s="1150"/>
      <c r="I25" s="1150"/>
      <c r="J25" s="1150"/>
      <c r="K25" s="1150"/>
      <c r="L25" s="1150"/>
      <c r="M25" s="1150"/>
      <c r="N25" s="1150"/>
      <c r="O25" s="1150"/>
      <c r="P25" s="1150"/>
      <c r="Q25" s="1150"/>
      <c r="R25" s="1150"/>
      <c r="S25" s="1150"/>
      <c r="T25" s="2038"/>
      <c r="U25" s="1143"/>
      <c r="V25" s="1143"/>
      <c r="W25" s="1143"/>
      <c r="X25" s="1143"/>
      <c r="Y25" s="1143"/>
      <c r="Z25" s="1143"/>
      <c r="AA25" s="1143"/>
      <c r="AB25" s="1143"/>
      <c r="AC25" s="1144"/>
    </row>
    <row r="26" spans="1:29" ht="14.25" x14ac:dyDescent="0.3">
      <c r="A26" s="666"/>
      <c r="B26" s="2441" t="str">
        <f>IF('0 Úvod'!$M$10="English",Slovnik!$D$274,Slovnik!$C$274)</f>
        <v>OSTATNÍ osobní doprava</v>
      </c>
      <c r="C26" s="607" t="str">
        <f>IF('0 Úvod'!$M$10="English",Slovnik!D278,Slovnik!C278)</f>
        <v>Nehody</v>
      </c>
      <c r="D26" s="608">
        <f t="shared" si="1"/>
        <v>0</v>
      </c>
      <c r="E26" s="691"/>
      <c r="F26" s="691"/>
      <c r="G26" s="691"/>
      <c r="H26" s="691"/>
      <c r="I26" s="691"/>
      <c r="J26" s="691"/>
      <c r="K26" s="691"/>
      <c r="L26" s="691"/>
      <c r="M26" s="691"/>
      <c r="N26" s="691"/>
      <c r="O26" s="691"/>
      <c r="P26" s="691"/>
      <c r="Q26" s="691"/>
      <c r="R26" s="691"/>
      <c r="S26" s="691"/>
      <c r="T26" s="2025"/>
      <c r="U26" s="587"/>
      <c r="V26" s="587"/>
      <c r="W26" s="587"/>
      <c r="X26" s="587"/>
      <c r="Y26" s="587"/>
      <c r="Z26" s="587"/>
      <c r="AA26" s="587"/>
      <c r="AB26" s="587"/>
      <c r="AC26" s="590"/>
    </row>
    <row r="27" spans="1:29" ht="14.25" x14ac:dyDescent="0.3">
      <c r="A27" s="666"/>
      <c r="B27" s="2437"/>
      <c r="C27" s="607" t="str">
        <f>IF('0 Úvod'!$M$10="English",Slovnik!D279,Slovnik!C279)</f>
        <v>Hluk</v>
      </c>
      <c r="D27" s="608">
        <f t="shared" si="1"/>
        <v>0</v>
      </c>
      <c r="E27" s="691"/>
      <c r="F27" s="691"/>
      <c r="G27" s="691"/>
      <c r="H27" s="691"/>
      <c r="I27" s="691"/>
      <c r="J27" s="691"/>
      <c r="K27" s="691"/>
      <c r="L27" s="691"/>
      <c r="M27" s="691"/>
      <c r="N27" s="691"/>
      <c r="O27" s="691"/>
      <c r="P27" s="691"/>
      <c r="Q27" s="691"/>
      <c r="R27" s="691"/>
      <c r="S27" s="691"/>
      <c r="T27" s="2025"/>
      <c r="U27" s="587"/>
      <c r="V27" s="587"/>
      <c r="W27" s="587"/>
      <c r="X27" s="587"/>
      <c r="Y27" s="587"/>
      <c r="Z27" s="587"/>
      <c r="AA27" s="587"/>
      <c r="AB27" s="587"/>
      <c r="AC27" s="590"/>
    </row>
    <row r="28" spans="1:29" ht="14.25" x14ac:dyDescent="0.3">
      <c r="A28" s="666"/>
      <c r="B28" s="2437"/>
      <c r="C28" s="607" t="str">
        <f>IF('0 Úvod'!$M$10="English",Slovnik!D280,Slovnik!C280)</f>
        <v>Znečištění ovzduší</v>
      </c>
      <c r="D28" s="608">
        <f t="shared" si="1"/>
        <v>0</v>
      </c>
      <c r="E28" s="691"/>
      <c r="F28" s="691"/>
      <c r="G28" s="691"/>
      <c r="H28" s="691"/>
      <c r="I28" s="691"/>
      <c r="J28" s="691"/>
      <c r="K28" s="691"/>
      <c r="L28" s="691"/>
      <c r="M28" s="691"/>
      <c r="N28" s="691"/>
      <c r="O28" s="691"/>
      <c r="P28" s="691"/>
      <c r="Q28" s="691"/>
      <c r="R28" s="691"/>
      <c r="S28" s="691"/>
      <c r="T28" s="2025"/>
      <c r="U28" s="587"/>
      <c r="V28" s="587"/>
      <c r="W28" s="587"/>
      <c r="X28" s="587"/>
      <c r="Y28" s="587"/>
      <c r="Z28" s="587"/>
      <c r="AA28" s="587"/>
      <c r="AB28" s="587"/>
      <c r="AC28" s="590"/>
    </row>
    <row r="29" spans="1:29" ht="14.25" x14ac:dyDescent="0.3">
      <c r="A29" s="666"/>
      <c r="B29" s="2437"/>
      <c r="C29" s="864" t="str">
        <f>IF('0 Úvod'!$M$10="English",Slovnik!D281,Slovnik!C281)</f>
        <v>Klimatické změny</v>
      </c>
      <c r="D29" s="1238">
        <f t="shared" si="1"/>
        <v>0</v>
      </c>
      <c r="E29" s="1241"/>
      <c r="F29" s="1241"/>
      <c r="G29" s="1241"/>
      <c r="H29" s="1241"/>
      <c r="I29" s="1241"/>
      <c r="J29" s="1241"/>
      <c r="K29" s="1241"/>
      <c r="L29" s="1241"/>
      <c r="M29" s="1241"/>
      <c r="N29" s="1241"/>
      <c r="O29" s="1241"/>
      <c r="P29" s="1241"/>
      <c r="Q29" s="1241"/>
      <c r="R29" s="1241"/>
      <c r="S29" s="1241"/>
      <c r="T29" s="2025"/>
      <c r="U29" s="587"/>
      <c r="V29" s="587"/>
      <c r="W29" s="587"/>
      <c r="X29" s="587"/>
      <c r="Y29" s="587"/>
      <c r="Z29" s="587"/>
      <c r="AA29" s="587"/>
      <c r="AB29" s="587"/>
      <c r="AC29" s="590"/>
    </row>
    <row r="30" spans="1:29" s="1145" customFormat="1" ht="14.25" x14ac:dyDescent="0.3">
      <c r="A30" s="1141"/>
      <c r="B30" s="2438" t="str">
        <f>IF('0 Úvod'!$M$10="English",Slovnik!$D$275,Slovnik!$C$275)</f>
        <v>OSTATNÍ nákladní doprava</v>
      </c>
      <c r="C30" s="1146" t="str">
        <f>IF('0 Úvod'!$M$10="English",Slovnik!D278,Slovnik!C278)</f>
        <v>Nehody</v>
      </c>
      <c r="D30" s="1153">
        <f t="shared" si="1"/>
        <v>0</v>
      </c>
      <c r="E30" s="1142"/>
      <c r="F30" s="1142"/>
      <c r="G30" s="1142"/>
      <c r="H30" s="1142"/>
      <c r="I30" s="1142"/>
      <c r="J30" s="1142"/>
      <c r="K30" s="1142"/>
      <c r="L30" s="1142"/>
      <c r="M30" s="1142"/>
      <c r="N30" s="1142"/>
      <c r="O30" s="1142"/>
      <c r="P30" s="1142"/>
      <c r="Q30" s="1142"/>
      <c r="R30" s="1142"/>
      <c r="S30" s="1142"/>
      <c r="T30" s="2038"/>
      <c r="U30" s="1143"/>
      <c r="V30" s="1143"/>
      <c r="W30" s="1143"/>
      <c r="X30" s="1143"/>
      <c r="Y30" s="1143"/>
      <c r="Z30" s="1143"/>
      <c r="AA30" s="1143"/>
      <c r="AB30" s="1143"/>
      <c r="AC30" s="1144"/>
    </row>
    <row r="31" spans="1:29" s="1145" customFormat="1" ht="14.25" x14ac:dyDescent="0.3">
      <c r="A31" s="1141"/>
      <c r="B31" s="2439"/>
      <c r="C31" s="1146" t="str">
        <f>IF('0 Úvod'!$M$10="English",Slovnik!D279,Slovnik!C279)</f>
        <v>Hluk</v>
      </c>
      <c r="D31" s="1153">
        <f t="shared" si="1"/>
        <v>0</v>
      </c>
      <c r="E31" s="1142"/>
      <c r="F31" s="1142"/>
      <c r="G31" s="1142"/>
      <c r="H31" s="1142"/>
      <c r="I31" s="1142"/>
      <c r="J31" s="1142"/>
      <c r="K31" s="1142"/>
      <c r="L31" s="1142"/>
      <c r="M31" s="1142"/>
      <c r="N31" s="1142"/>
      <c r="O31" s="1142"/>
      <c r="P31" s="1142"/>
      <c r="Q31" s="1142"/>
      <c r="R31" s="1142"/>
      <c r="S31" s="1142"/>
      <c r="T31" s="2038"/>
      <c r="U31" s="1143"/>
      <c r="V31" s="1143"/>
      <c r="W31" s="1143"/>
      <c r="X31" s="1143"/>
      <c r="Y31" s="1143"/>
      <c r="Z31" s="1143"/>
      <c r="AA31" s="1143"/>
      <c r="AB31" s="1143"/>
      <c r="AC31" s="1144"/>
    </row>
    <row r="32" spans="1:29" s="1145" customFormat="1" ht="14.25" x14ac:dyDescent="0.3">
      <c r="A32" s="1141"/>
      <c r="B32" s="2439"/>
      <c r="C32" s="1146" t="str">
        <f>IF('0 Úvod'!$M$10="English",Slovnik!D280,Slovnik!C280)</f>
        <v>Znečištění ovzduší</v>
      </c>
      <c r="D32" s="1153">
        <f t="shared" si="1"/>
        <v>0</v>
      </c>
      <c r="E32" s="1142"/>
      <c r="F32" s="1142"/>
      <c r="G32" s="1142"/>
      <c r="H32" s="1142"/>
      <c r="I32" s="1142"/>
      <c r="J32" s="1142"/>
      <c r="K32" s="1142"/>
      <c r="L32" s="1142"/>
      <c r="M32" s="1142"/>
      <c r="N32" s="1142"/>
      <c r="O32" s="1142"/>
      <c r="P32" s="1142"/>
      <c r="Q32" s="1142"/>
      <c r="R32" s="1142"/>
      <c r="S32" s="1142"/>
      <c r="T32" s="2038"/>
      <c r="U32" s="1143"/>
      <c r="V32" s="1143"/>
      <c r="W32" s="1143"/>
      <c r="X32" s="1143"/>
      <c r="Y32" s="1143"/>
      <c r="Z32" s="1143"/>
      <c r="AA32" s="1143"/>
      <c r="AB32" s="1143"/>
      <c r="AC32" s="1144"/>
    </row>
    <row r="33" spans="1:29" s="1145" customFormat="1" ht="14.25" x14ac:dyDescent="0.3">
      <c r="A33" s="1141"/>
      <c r="B33" s="2439"/>
      <c r="C33" s="1147" t="str">
        <f>IF('0 Úvod'!$M$10="English",Slovnik!D281,Slovnik!C281)</f>
        <v>Klimatické změny</v>
      </c>
      <c r="D33" s="2036">
        <f t="shared" si="1"/>
        <v>0</v>
      </c>
      <c r="E33" s="1142"/>
      <c r="F33" s="1142"/>
      <c r="G33" s="1142"/>
      <c r="H33" s="1142"/>
      <c r="I33" s="1142"/>
      <c r="J33" s="1142"/>
      <c r="K33" s="1142"/>
      <c r="L33" s="1142"/>
      <c r="M33" s="1142"/>
      <c r="N33" s="1142"/>
      <c r="O33" s="1142"/>
      <c r="P33" s="1142"/>
      <c r="Q33" s="1142"/>
      <c r="R33" s="1142"/>
      <c r="S33" s="1142"/>
      <c r="T33" s="2038"/>
      <c r="U33" s="1143"/>
      <c r="V33" s="1143"/>
      <c r="W33" s="1143"/>
      <c r="X33" s="1143"/>
      <c r="Y33" s="1143"/>
      <c r="Z33" s="1143"/>
      <c r="AA33" s="1143"/>
      <c r="AB33" s="1143"/>
      <c r="AC33" s="1144"/>
    </row>
    <row r="34" spans="1:29" ht="15" thickBot="1" x14ac:dyDescent="0.35">
      <c r="A34" s="666"/>
      <c r="B34" s="768"/>
      <c r="C34" s="841" t="str">
        <f>IF('0 Úvod'!$M$10="English",Slovnik!D282,Slovnik!C282)</f>
        <v>Celkové externí náklady</v>
      </c>
      <c r="D34" s="769">
        <f t="shared" si="1"/>
        <v>16969882.127398923</v>
      </c>
      <c r="E34" s="2040">
        <f t="shared" ref="E34:S34" si="6">SUM(E4:E33)</f>
        <v>0</v>
      </c>
      <c r="F34" s="2041">
        <f t="shared" si="6"/>
        <v>0</v>
      </c>
      <c r="G34" s="2041">
        <f t="shared" si="6"/>
        <v>0</v>
      </c>
      <c r="H34" s="2041">
        <f t="shared" si="6"/>
        <v>0</v>
      </c>
      <c r="I34" s="2041">
        <f t="shared" si="6"/>
        <v>0</v>
      </c>
      <c r="J34" s="2041">
        <f t="shared" si="6"/>
        <v>462304.61217858404</v>
      </c>
      <c r="K34" s="2041">
        <f t="shared" si="6"/>
        <v>469941.88437177421</v>
      </c>
      <c r="L34" s="2041">
        <f t="shared" si="6"/>
        <v>477705.32430159592</v>
      </c>
      <c r="M34" s="2041">
        <f t="shared" si="6"/>
        <v>485597.01625905832</v>
      </c>
      <c r="N34" s="2041">
        <f t="shared" si="6"/>
        <v>493619.07896765805</v>
      </c>
      <c r="O34" s="2041">
        <f t="shared" si="6"/>
        <v>501773.66615220375</v>
      </c>
      <c r="P34" s="2041">
        <f t="shared" si="6"/>
        <v>510062.96711703826</v>
      </c>
      <c r="Q34" s="2041">
        <f t="shared" si="6"/>
        <v>518489.20733381179</v>
      </c>
      <c r="R34" s="2041">
        <f t="shared" si="6"/>
        <v>527054.6490389664</v>
      </c>
      <c r="S34" s="2042">
        <f t="shared" si="6"/>
        <v>535761.59184109012</v>
      </c>
      <c r="T34" s="679"/>
      <c r="U34" s="679"/>
      <c r="V34" s="679"/>
      <c r="W34" s="679"/>
      <c r="X34" s="679"/>
      <c r="Y34" s="679"/>
      <c r="Z34" s="679"/>
      <c r="AA34" s="679"/>
      <c r="AB34" s="679"/>
      <c r="AC34" s="679"/>
    </row>
    <row r="35" spans="1:29" ht="14.25" thickBot="1" x14ac:dyDescent="0.35">
      <c r="A35" s="666"/>
      <c r="B35" s="671"/>
      <c r="C35" s="666"/>
      <c r="D35" s="590"/>
      <c r="E35" s="673"/>
      <c r="F35" s="673"/>
      <c r="G35" s="673"/>
      <c r="H35" s="673"/>
      <c r="I35" s="673"/>
      <c r="J35" s="673"/>
      <c r="K35" s="673"/>
      <c r="L35" s="673"/>
      <c r="M35" s="673"/>
      <c r="N35" s="673"/>
      <c r="O35" s="673"/>
      <c r="P35" s="673"/>
      <c r="Q35" s="673"/>
      <c r="R35" s="673"/>
      <c r="S35" s="673"/>
      <c r="T35" s="590"/>
      <c r="U35" s="590"/>
      <c r="V35" s="590"/>
      <c r="W35" s="590"/>
      <c r="X35" s="590"/>
      <c r="Y35" s="590"/>
      <c r="Z35" s="590"/>
      <c r="AA35" s="590"/>
      <c r="AB35" s="590"/>
      <c r="AC35" s="590"/>
    </row>
    <row r="36" spans="1:29" ht="14.25" x14ac:dyDescent="0.3">
      <c r="A36" s="666"/>
      <c r="B36" s="597" t="s">
        <v>17</v>
      </c>
      <c r="C36" s="839" t="str">
        <f>C2</f>
        <v>Externí náklady (CZK)</v>
      </c>
      <c r="D36" s="899"/>
      <c r="E36" s="2363">
        <f>S2+1</f>
        <v>2036</v>
      </c>
      <c r="F36" s="2361">
        <f t="shared" ref="F36:S36" si="7">E36+1</f>
        <v>2037</v>
      </c>
      <c r="G36" s="2361">
        <f t="shared" si="7"/>
        <v>2038</v>
      </c>
      <c r="H36" s="2361">
        <f t="shared" si="7"/>
        <v>2039</v>
      </c>
      <c r="I36" s="2361">
        <f t="shared" si="7"/>
        <v>2040</v>
      </c>
      <c r="J36" s="2361">
        <f t="shared" si="7"/>
        <v>2041</v>
      </c>
      <c r="K36" s="2361">
        <f t="shared" si="7"/>
        <v>2042</v>
      </c>
      <c r="L36" s="2361">
        <f t="shared" si="7"/>
        <v>2043</v>
      </c>
      <c r="M36" s="2361">
        <f t="shared" si="7"/>
        <v>2044</v>
      </c>
      <c r="N36" s="2361">
        <f t="shared" si="7"/>
        <v>2045</v>
      </c>
      <c r="O36" s="2361">
        <f t="shared" si="7"/>
        <v>2046</v>
      </c>
      <c r="P36" s="2361">
        <f t="shared" si="7"/>
        <v>2047</v>
      </c>
      <c r="Q36" s="2361">
        <f t="shared" si="7"/>
        <v>2048</v>
      </c>
      <c r="R36" s="2361">
        <f t="shared" si="7"/>
        <v>2049</v>
      </c>
      <c r="S36" s="2365">
        <f t="shared" si="7"/>
        <v>2050</v>
      </c>
      <c r="T36" s="669"/>
      <c r="U36" s="669"/>
      <c r="V36" s="669"/>
      <c r="W36" s="669"/>
      <c r="X36" s="669"/>
      <c r="Y36" s="669"/>
      <c r="Z36" s="669"/>
      <c r="AA36" s="669"/>
      <c r="AB36" s="669"/>
      <c r="AC36" s="669"/>
    </row>
    <row r="37" spans="1:29" ht="15" thickBot="1" x14ac:dyDescent="0.35">
      <c r="A37" s="666"/>
      <c r="B37" s="694" t="s">
        <v>24</v>
      </c>
      <c r="C37" s="840" t="str">
        <f t="shared" ref="C37:C68" si="8">C3</f>
        <v>Scénář s projektem</v>
      </c>
      <c r="D37" s="697"/>
      <c r="E37" s="2364"/>
      <c r="F37" s="2362"/>
      <c r="G37" s="2362"/>
      <c r="H37" s="2362"/>
      <c r="I37" s="2362"/>
      <c r="J37" s="2362"/>
      <c r="K37" s="2362"/>
      <c r="L37" s="2362"/>
      <c r="M37" s="2362"/>
      <c r="N37" s="2362"/>
      <c r="O37" s="2362"/>
      <c r="P37" s="2362"/>
      <c r="Q37" s="2362"/>
      <c r="R37" s="2362"/>
      <c r="S37" s="2366"/>
      <c r="T37" s="669"/>
      <c r="U37" s="669"/>
      <c r="V37" s="669"/>
      <c r="W37" s="669"/>
      <c r="X37" s="669"/>
      <c r="Y37" s="669"/>
      <c r="Z37" s="669"/>
      <c r="AA37" s="669"/>
      <c r="AB37" s="669"/>
      <c r="AC37" s="669"/>
    </row>
    <row r="38" spans="1:29" ht="12" customHeight="1" x14ac:dyDescent="0.3">
      <c r="A38" s="666"/>
      <c r="B38" s="2436" t="str">
        <f>B4</f>
        <v>ŽELEZNIČNÍ osobní doprava</v>
      </c>
      <c r="C38" s="607" t="str">
        <f t="shared" si="8"/>
        <v>Nehody</v>
      </c>
      <c r="D38" s="912"/>
      <c r="E38" s="2197"/>
      <c r="F38" s="2061"/>
      <c r="G38" s="2061"/>
      <c r="H38" s="2061"/>
      <c r="I38" s="2061"/>
      <c r="J38" s="692"/>
      <c r="K38" s="692"/>
      <c r="L38" s="692"/>
      <c r="M38" s="692"/>
      <c r="N38" s="692"/>
      <c r="O38" s="692"/>
      <c r="P38" s="692"/>
      <c r="Q38" s="692">
        <f>-Q267*$U$252*$F$185/1000*Q529</f>
        <v>-75749.012947667565</v>
      </c>
      <c r="R38" s="692"/>
      <c r="S38" s="2204"/>
      <c r="T38" s="1981"/>
      <c r="U38" s="590"/>
      <c r="V38" s="590"/>
      <c r="W38" s="590"/>
      <c r="X38" s="590"/>
      <c r="Y38" s="590"/>
      <c r="Z38" s="590"/>
      <c r="AA38" s="590"/>
      <c r="AB38" s="590"/>
      <c r="AC38" s="590"/>
    </row>
    <row r="39" spans="1:29" ht="14.25" x14ac:dyDescent="0.3">
      <c r="A39" s="666"/>
      <c r="B39" s="2437"/>
      <c r="C39" s="607" t="str">
        <f t="shared" si="8"/>
        <v>Hluk</v>
      </c>
      <c r="D39" s="913"/>
      <c r="E39" s="2195"/>
      <c r="F39" s="691"/>
      <c r="G39" s="691"/>
      <c r="H39" s="691"/>
      <c r="I39" s="691"/>
      <c r="J39" s="693"/>
      <c r="K39" s="693"/>
      <c r="L39" s="693"/>
      <c r="M39" s="693"/>
      <c r="N39" s="693"/>
      <c r="O39" s="693"/>
      <c r="P39" s="693"/>
      <c r="Q39" s="693">
        <f>-Q267*$U$252*$F$209/1000*Q529</f>
        <v>-155484.81605047555</v>
      </c>
      <c r="R39" s="693"/>
      <c r="S39" s="2205"/>
      <c r="T39" s="1981"/>
      <c r="U39" s="590"/>
      <c r="V39" s="590"/>
      <c r="W39" s="590"/>
      <c r="X39" s="590"/>
      <c r="Y39" s="590"/>
      <c r="Z39" s="590"/>
      <c r="AA39" s="590"/>
      <c r="AB39" s="590"/>
      <c r="AC39" s="590"/>
    </row>
    <row r="40" spans="1:29" ht="14.25" x14ac:dyDescent="0.3">
      <c r="A40" s="666"/>
      <c r="B40" s="2437"/>
      <c r="C40" s="607" t="str">
        <f t="shared" si="8"/>
        <v>Znečištění ovzduší</v>
      </c>
      <c r="D40" s="913"/>
      <c r="E40" s="2195"/>
      <c r="F40" s="691"/>
      <c r="G40" s="691"/>
      <c r="H40" s="691"/>
      <c r="I40" s="691"/>
      <c r="J40" s="693"/>
      <c r="K40" s="693"/>
      <c r="L40" s="693"/>
      <c r="M40" s="693"/>
      <c r="N40" s="693"/>
      <c r="O40" s="693"/>
      <c r="P40" s="693"/>
      <c r="Q40" s="693">
        <f>-(Q266*($E$224*$F$237+$F$224*$G$237+$H$225*$H$237+$I$225*$I$237)+Q267*($E$224*$F$238+$F$224*$G$238+$H$225*$H$238+$I$225*$I$238))*Q529/1000^2</f>
        <v>-13169.159437124905</v>
      </c>
      <c r="R40" s="693"/>
      <c r="S40" s="2205"/>
      <c r="T40" s="1981"/>
      <c r="U40" s="590"/>
      <c r="V40" s="590"/>
      <c r="W40" s="590"/>
      <c r="X40" s="590"/>
      <c r="Y40" s="590"/>
      <c r="Z40" s="590"/>
      <c r="AA40" s="590"/>
      <c r="AB40" s="590"/>
      <c r="AC40" s="590"/>
    </row>
    <row r="41" spans="1:29" ht="14.25" x14ac:dyDescent="0.3">
      <c r="A41" s="666"/>
      <c r="B41" s="2437"/>
      <c r="C41" s="864" t="str">
        <f t="shared" si="8"/>
        <v>Klimatické změny</v>
      </c>
      <c r="D41" s="1247"/>
      <c r="E41" s="2199"/>
      <c r="F41" s="1241"/>
      <c r="G41" s="1241"/>
      <c r="H41" s="1241"/>
      <c r="I41" s="1241"/>
      <c r="J41" s="1242"/>
      <c r="K41" s="1242"/>
      <c r="L41" s="1242"/>
      <c r="M41" s="1242"/>
      <c r="N41" s="1242"/>
      <c r="O41" s="1242"/>
      <c r="P41" s="1242"/>
      <c r="Q41" s="1242">
        <f>-(Q266*$D$224*$E$237+Q267*$D$224*$E$238)*Q529/1000^2</f>
        <v>-7632.9516532467924</v>
      </c>
      <c r="R41" s="1242"/>
      <c r="S41" s="2207"/>
      <c r="T41" s="1981"/>
      <c r="U41" s="590"/>
      <c r="V41" s="590"/>
      <c r="W41" s="590"/>
      <c r="X41" s="590"/>
      <c r="Y41" s="590"/>
      <c r="Z41" s="590"/>
      <c r="AA41" s="590"/>
      <c r="AB41" s="590"/>
      <c r="AC41" s="590"/>
    </row>
    <row r="42" spans="1:29" s="1145" customFormat="1" ht="12" customHeight="1" x14ac:dyDescent="0.3">
      <c r="A42" s="1141"/>
      <c r="B42" s="2438" t="str">
        <f>B8</f>
        <v>ŽELEZNIČNÍ nákladní doprava</v>
      </c>
      <c r="C42" s="1146" t="str">
        <f t="shared" si="8"/>
        <v>Nehody</v>
      </c>
      <c r="D42" s="1157"/>
      <c r="E42" s="2220">
        <f>(E269*$U$254*$F$189/1000)*E529*$J$247</f>
        <v>72868.178528671691</v>
      </c>
      <c r="F42" s="1148">
        <f t="shared" ref="F42:S42" si="9">(F269*$U$254*$F$189/1000)*F529*$J$247</f>
        <v>74071.960837965351</v>
      </c>
      <c r="G42" s="1148">
        <f t="shared" si="9"/>
        <v>75295.62963100856</v>
      </c>
      <c r="H42" s="1148">
        <f t="shared" si="9"/>
        <v>76539.513432512817</v>
      </c>
      <c r="I42" s="1148">
        <f t="shared" si="9"/>
        <v>77803.946194417935</v>
      </c>
      <c r="J42" s="1148">
        <f t="shared" si="9"/>
        <v>79089.267385549712</v>
      </c>
      <c r="K42" s="1148">
        <f t="shared" si="9"/>
        <v>80395.822082759012</v>
      </c>
      <c r="L42" s="1148">
        <f t="shared" si="9"/>
        <v>81723.961063566196</v>
      </c>
      <c r="M42" s="1148">
        <f t="shared" si="9"/>
        <v>83074.040900336317</v>
      </c>
      <c r="N42" s="1148">
        <f t="shared" si="9"/>
        <v>84446.42405600987</v>
      </c>
      <c r="O42" s="1148">
        <f t="shared" si="9"/>
        <v>85841.478981415174</v>
      </c>
      <c r="P42" s="1148">
        <f t="shared" si="9"/>
        <v>87259.580214188158</v>
      </c>
      <c r="Q42" s="1148">
        <f t="shared" si="9"/>
        <v>88701.108479326562</v>
      </c>
      <c r="R42" s="1148">
        <f t="shared" si="9"/>
        <v>90166.450791405048</v>
      </c>
      <c r="S42" s="2221">
        <f t="shared" si="9"/>
        <v>91656.000558479063</v>
      </c>
      <c r="T42" s="2039"/>
      <c r="U42" s="1144"/>
      <c r="V42" s="1144"/>
      <c r="W42" s="1144"/>
      <c r="X42" s="1144"/>
      <c r="Y42" s="1144"/>
      <c r="Z42" s="1144"/>
      <c r="AA42" s="1144"/>
      <c r="AB42" s="1144"/>
      <c r="AC42" s="1144"/>
    </row>
    <row r="43" spans="1:29" s="1145" customFormat="1" ht="12" customHeight="1" x14ac:dyDescent="0.3">
      <c r="A43" s="1141"/>
      <c r="B43" s="2439"/>
      <c r="C43" s="1146" t="str">
        <f t="shared" si="8"/>
        <v>Hluk</v>
      </c>
      <c r="D43" s="1157"/>
      <c r="E43" s="2220">
        <f>(E269*$U$254*$F$212/1000)*E529*$J$247</f>
        <v>388630.28548624902</v>
      </c>
      <c r="F43" s="1148">
        <f t="shared" ref="F43:S43" si="10">(F269*$U$254*$F$212/1000)*F529*$J$247</f>
        <v>395050.45780248195</v>
      </c>
      <c r="G43" s="1148">
        <f t="shared" si="10"/>
        <v>401576.69136537897</v>
      </c>
      <c r="H43" s="1148">
        <f t="shared" si="10"/>
        <v>408210.73830673506</v>
      </c>
      <c r="I43" s="1148">
        <f t="shared" si="10"/>
        <v>414954.3797035623</v>
      </c>
      <c r="J43" s="1148">
        <f t="shared" si="10"/>
        <v>421809.42605626519</v>
      </c>
      <c r="K43" s="1148">
        <f t="shared" si="10"/>
        <v>428777.71777471475</v>
      </c>
      <c r="L43" s="1148">
        <f t="shared" si="10"/>
        <v>435861.12567235302</v>
      </c>
      <c r="M43" s="1148">
        <f t="shared" si="10"/>
        <v>443061.55146846035</v>
      </c>
      <c r="N43" s="1148">
        <f t="shared" si="10"/>
        <v>450380.9282987194</v>
      </c>
      <c r="O43" s="1148">
        <f t="shared" si="10"/>
        <v>457821.22123421432</v>
      </c>
      <c r="P43" s="1148">
        <f t="shared" si="10"/>
        <v>465384.42780900357</v>
      </c>
      <c r="Q43" s="1148">
        <f t="shared" si="10"/>
        <v>473072.57855640829</v>
      </c>
      <c r="R43" s="1148">
        <f t="shared" si="10"/>
        <v>480887.73755416024</v>
      </c>
      <c r="S43" s="2221">
        <f t="shared" si="10"/>
        <v>488832.00297855504</v>
      </c>
      <c r="T43" s="2039"/>
      <c r="U43" s="1144"/>
      <c r="V43" s="1144"/>
      <c r="W43" s="1144"/>
      <c r="X43" s="1144"/>
      <c r="Y43" s="1144"/>
      <c r="Z43" s="1144"/>
      <c r="AA43" s="1144"/>
      <c r="AB43" s="1144"/>
      <c r="AC43" s="1144"/>
    </row>
    <row r="44" spans="1:29" s="1145" customFormat="1" ht="12" customHeight="1" x14ac:dyDescent="0.3">
      <c r="A44" s="1141"/>
      <c r="B44" s="2439"/>
      <c r="C44" s="1146" t="str">
        <f t="shared" si="8"/>
        <v>Znečištění ovzduší</v>
      </c>
      <c r="D44" s="1157"/>
      <c r="E44" s="2220">
        <f>E269/$U$254*($E$224*$F$244+$F$224*$G$244+$H$225*$H$244+$I$225*$I$244)*E529/1000^2*$J$247</f>
        <v>62802.341362765001</v>
      </c>
      <c r="F44" s="1148">
        <f t="shared" ref="F44:S44" si="11">F269/$U$254*($E$224*$F$244+$F$224*$G$244+$H$225*$H$244+$I$225*$I$244)*F529/1000^2*$J$247</f>
        <v>63839.836042077884</v>
      </c>
      <c r="G44" s="1148">
        <f t="shared" si="11"/>
        <v>64894.470133493021</v>
      </c>
      <c r="H44" s="1148">
        <f t="shared" si="11"/>
        <v>65966.526780098327</v>
      </c>
      <c r="I44" s="1148">
        <f t="shared" si="11"/>
        <v>67056.293802505548</v>
      </c>
      <c r="J44" s="1148">
        <f t="shared" si="11"/>
        <v>68164.063776122945</v>
      </c>
      <c r="K44" s="1148">
        <f t="shared" si="11"/>
        <v>69290.134109704493</v>
      </c>
      <c r="L44" s="1148">
        <f t="shared" si="11"/>
        <v>70434.807125196836</v>
      </c>
      <c r="M44" s="1148">
        <f t="shared" si="11"/>
        <v>71598.390138905103</v>
      </c>
      <c r="N44" s="1148">
        <f t="shared" si="11"/>
        <v>72781.195543999813</v>
      </c>
      <c r="O44" s="1148">
        <f t="shared" si="11"/>
        <v>73983.540894386708</v>
      </c>
      <c r="P44" s="1148">
        <f t="shared" si="11"/>
        <v>75205.748989961969</v>
      </c>
      <c r="Q44" s="1148">
        <f t="shared" si="11"/>
        <v>76448.147963276147</v>
      </c>
      <c r="R44" s="1148">
        <f t="shared" si="11"/>
        <v>77711.071367629484</v>
      </c>
      <c r="S44" s="2221">
        <f t="shared" si="11"/>
        <v>78994.85826662273</v>
      </c>
      <c r="T44" s="2039"/>
      <c r="U44" s="1144"/>
      <c r="V44" s="1144"/>
      <c r="W44" s="1144"/>
      <c r="X44" s="1144"/>
      <c r="Y44" s="1144"/>
      <c r="Z44" s="1144"/>
      <c r="AA44" s="1144"/>
      <c r="AB44" s="1144"/>
      <c r="AC44" s="1144"/>
    </row>
    <row r="45" spans="1:29" s="1145" customFormat="1" ht="12" customHeight="1" thickBot="1" x14ac:dyDescent="0.35">
      <c r="A45" s="1141"/>
      <c r="B45" s="2442"/>
      <c r="C45" s="1146" t="str">
        <f t="shared" si="8"/>
        <v>Klimatické změny</v>
      </c>
      <c r="D45" s="1157"/>
      <c r="E45" s="2220">
        <f>E269/$U$254*($D$224*$E$244)*E529/1000^2*$J$247</f>
        <v>20311.567960619275</v>
      </c>
      <c r="F45" s="1148">
        <f t="shared" ref="F45:S45" si="12">F269/$U$254*($D$224*$E$244)*F529/1000^2*$J$247</f>
        <v>20647.115063328707</v>
      </c>
      <c r="G45" s="1148">
        <f t="shared" si="12"/>
        <v>20988.2054041749</v>
      </c>
      <c r="H45" s="1148">
        <f t="shared" si="12"/>
        <v>21334.930557451869</v>
      </c>
      <c r="I45" s="1148">
        <f t="shared" si="12"/>
        <v>21687.383610260975</v>
      </c>
      <c r="J45" s="1148">
        <f t="shared" si="12"/>
        <v>22045.659187502486</v>
      </c>
      <c r="K45" s="1148">
        <f t="shared" si="12"/>
        <v>22409.85347728003</v>
      </c>
      <c r="L45" s="1148">
        <f t="shared" si="12"/>
        <v>22780.064256724698</v>
      </c>
      <c r="M45" s="1148">
        <f t="shared" si="12"/>
        <v>23156.390918245794</v>
      </c>
      <c r="N45" s="1148">
        <f t="shared" si="12"/>
        <v>23538.934496215217</v>
      </c>
      <c r="O45" s="1148">
        <f t="shared" si="12"/>
        <v>23927.797694092693</v>
      </c>
      <c r="P45" s="1148">
        <f t="shared" si="12"/>
        <v>24323.084911999107</v>
      </c>
      <c r="Q45" s="1148">
        <f t="shared" si="12"/>
        <v>24724.902274745335</v>
      </c>
      <c r="R45" s="1148">
        <f t="shared" si="12"/>
        <v>25133.357660324134</v>
      </c>
      <c r="S45" s="2221">
        <f t="shared" si="12"/>
        <v>25548.560728872693</v>
      </c>
      <c r="T45" s="2039"/>
      <c r="U45" s="1144"/>
      <c r="V45" s="1144"/>
      <c r="W45" s="1144"/>
      <c r="X45" s="1144"/>
      <c r="Y45" s="1144"/>
      <c r="Z45" s="1144"/>
      <c r="AA45" s="1144"/>
      <c r="AB45" s="1144"/>
      <c r="AC45" s="1144"/>
    </row>
    <row r="46" spans="1:29" ht="12" customHeight="1" x14ac:dyDescent="0.3">
      <c r="A46" s="666"/>
      <c r="B46" s="2436" t="str">
        <f>B12</f>
        <v>SILNIČNÍ osobní doprava</v>
      </c>
      <c r="C46" s="604" t="str">
        <f t="shared" si="8"/>
        <v>Nehody</v>
      </c>
      <c r="D46" s="658"/>
      <c r="E46" s="2193"/>
      <c r="F46" s="1151"/>
      <c r="G46" s="1151"/>
      <c r="H46" s="1151"/>
      <c r="I46" s="1151"/>
      <c r="J46" s="1151"/>
      <c r="K46" s="1151"/>
      <c r="L46" s="1151"/>
      <c r="M46" s="1151"/>
      <c r="N46" s="1151"/>
      <c r="O46" s="1151"/>
      <c r="P46" s="692"/>
      <c r="Q46" s="1151">
        <f>(Q271*$U$256*$F$183/1000)*Q529</f>
        <v>2681815.1401022407</v>
      </c>
      <c r="R46" s="692"/>
      <c r="S46" s="2204"/>
      <c r="T46" s="1981"/>
      <c r="U46" s="590"/>
      <c r="V46" s="590"/>
      <c r="W46" s="590"/>
      <c r="X46" s="590"/>
      <c r="Y46" s="590"/>
      <c r="Z46" s="590"/>
      <c r="AA46" s="590"/>
      <c r="AB46" s="590"/>
      <c r="AC46" s="590"/>
    </row>
    <row r="47" spans="1:29" ht="12" customHeight="1" x14ac:dyDescent="0.3">
      <c r="A47" s="666"/>
      <c r="B47" s="2437"/>
      <c r="C47" s="607" t="str">
        <f t="shared" si="8"/>
        <v>Hluk</v>
      </c>
      <c r="D47" s="625"/>
      <c r="E47" s="2195"/>
      <c r="F47" s="691"/>
      <c r="G47" s="691"/>
      <c r="H47" s="691"/>
      <c r="I47" s="691"/>
      <c r="J47" s="691"/>
      <c r="K47" s="691"/>
      <c r="L47" s="691"/>
      <c r="M47" s="691"/>
      <c r="N47" s="691"/>
      <c r="O47" s="691"/>
      <c r="P47" s="693"/>
      <c r="Q47" s="691">
        <f>(Q271*$U$256*$F$208/1000)*Q529</f>
        <v>345385.28319498559</v>
      </c>
      <c r="R47" s="693"/>
      <c r="S47" s="2205"/>
      <c r="T47" s="1981"/>
      <c r="U47" s="590"/>
      <c r="V47" s="590"/>
      <c r="W47" s="590"/>
      <c r="X47" s="590"/>
      <c r="Y47" s="590"/>
      <c r="Z47" s="590"/>
      <c r="AA47" s="590"/>
      <c r="AB47" s="590"/>
      <c r="AC47" s="590"/>
    </row>
    <row r="48" spans="1:29" ht="12" customHeight="1" x14ac:dyDescent="0.3">
      <c r="A48" s="666"/>
      <c r="B48" s="2437"/>
      <c r="C48" s="607" t="str">
        <f t="shared" si="8"/>
        <v>Znečištění ovzduší</v>
      </c>
      <c r="D48" s="625"/>
      <c r="E48" s="2195"/>
      <c r="F48" s="691"/>
      <c r="G48" s="691"/>
      <c r="H48" s="691"/>
      <c r="I48" s="691"/>
      <c r="J48" s="691"/>
      <c r="K48" s="691"/>
      <c r="L48" s="691"/>
      <c r="M48" s="691"/>
      <c r="N48" s="691"/>
      <c r="O48" s="691"/>
      <c r="P48" s="693"/>
      <c r="Q48" s="693">
        <f>(Q270/$U$286*($E$224*$F$234+$F$224*$G$234+$H$225*$H$234+$I$225*$I$234)+Q271/$U$287*($E$224*$F$235+$F$224*$G$235+$H$225*$H$235+$I$225*$I$235))*Q529/1000^2</f>
        <v>19074.991046399948</v>
      </c>
      <c r="R48" s="693"/>
      <c r="S48" s="2205"/>
      <c r="T48" s="1981"/>
      <c r="U48" s="590"/>
      <c r="V48" s="590"/>
      <c r="W48" s="590"/>
      <c r="X48" s="590"/>
      <c r="Y48" s="590"/>
      <c r="Z48" s="590"/>
      <c r="AA48" s="590"/>
      <c r="AB48" s="590"/>
      <c r="AC48" s="590"/>
    </row>
    <row r="49" spans="1:29" ht="12" customHeight="1" x14ac:dyDescent="0.3">
      <c r="A49" s="666"/>
      <c r="B49" s="2437"/>
      <c r="C49" s="613" t="str">
        <f t="shared" si="8"/>
        <v>Klimatické změny</v>
      </c>
      <c r="D49" s="1240"/>
      <c r="E49" s="2199"/>
      <c r="F49" s="1241"/>
      <c r="G49" s="1241"/>
      <c r="H49" s="1241"/>
      <c r="I49" s="1241"/>
      <c r="J49" s="1241"/>
      <c r="K49" s="1241"/>
      <c r="L49" s="1241"/>
      <c r="M49" s="1241"/>
      <c r="N49" s="1241"/>
      <c r="O49" s="1241"/>
      <c r="P49" s="1242"/>
      <c r="Q49" s="1242">
        <f>(Q270/$U$286*($D$224*$E$234)+Q271/$U$287*($D$224*$E$235))*Q529/1000^2</f>
        <v>8358.787878572035</v>
      </c>
      <c r="R49" s="1242"/>
      <c r="S49" s="2207"/>
      <c r="T49" s="1981"/>
      <c r="U49" s="590"/>
      <c r="V49" s="590"/>
      <c r="W49" s="590"/>
      <c r="X49" s="590"/>
      <c r="Y49" s="590"/>
      <c r="Z49" s="590"/>
      <c r="AA49" s="590"/>
      <c r="AB49" s="590"/>
      <c r="AC49" s="590"/>
    </row>
    <row r="50" spans="1:29" s="1145" customFormat="1" ht="12" customHeight="1" x14ac:dyDescent="0.3">
      <c r="A50" s="1141"/>
      <c r="B50" s="2438" t="str">
        <f>B16</f>
        <v>SILNIČNÍ nákladní doprava</v>
      </c>
      <c r="C50" s="1146" t="str">
        <f t="shared" si="8"/>
        <v>Nehody</v>
      </c>
      <c r="D50" s="1157"/>
      <c r="E50" s="2220"/>
      <c r="F50" s="1148"/>
      <c r="G50" s="1148"/>
      <c r="H50" s="1148"/>
      <c r="I50" s="1148"/>
      <c r="J50" s="2035"/>
      <c r="K50" s="2035"/>
      <c r="L50" s="2035"/>
      <c r="M50" s="2035"/>
      <c r="N50" s="2035"/>
      <c r="O50" s="2035"/>
      <c r="P50" s="1148"/>
      <c r="Q50" s="1148"/>
      <c r="R50" s="1148"/>
      <c r="S50" s="2221"/>
      <c r="T50" s="2039"/>
      <c r="U50" s="1144"/>
      <c r="V50" s="1144"/>
      <c r="W50" s="1144"/>
      <c r="X50" s="1144"/>
      <c r="Y50" s="1144"/>
      <c r="Z50" s="1144"/>
      <c r="AA50" s="1144"/>
      <c r="AB50" s="1144"/>
      <c r="AC50" s="1144"/>
    </row>
    <row r="51" spans="1:29" s="1145" customFormat="1" ht="12" customHeight="1" x14ac:dyDescent="0.3">
      <c r="A51" s="1141"/>
      <c r="B51" s="2439"/>
      <c r="C51" s="1146" t="str">
        <f t="shared" si="8"/>
        <v>Hluk</v>
      </c>
      <c r="D51" s="1157"/>
      <c r="E51" s="2220"/>
      <c r="F51" s="1148"/>
      <c r="G51" s="1148"/>
      <c r="H51" s="1148"/>
      <c r="I51" s="1148"/>
      <c r="J51" s="1148"/>
      <c r="K51" s="1148"/>
      <c r="L51" s="1148"/>
      <c r="M51" s="1148"/>
      <c r="N51" s="1148"/>
      <c r="O51" s="1148"/>
      <c r="P51" s="1148"/>
      <c r="Q51" s="1148"/>
      <c r="R51" s="1148"/>
      <c r="S51" s="2221"/>
      <c r="T51" s="2039"/>
      <c r="U51" s="1144"/>
      <c r="V51" s="1144"/>
      <c r="W51" s="1144"/>
      <c r="X51" s="1144"/>
      <c r="Y51" s="1144"/>
      <c r="Z51" s="1144"/>
      <c r="AA51" s="1144"/>
      <c r="AB51" s="1144"/>
      <c r="AC51" s="1144"/>
    </row>
    <row r="52" spans="1:29" s="1145" customFormat="1" ht="12" customHeight="1" x14ac:dyDescent="0.3">
      <c r="A52" s="1141"/>
      <c r="B52" s="2439"/>
      <c r="C52" s="1146" t="str">
        <f t="shared" si="8"/>
        <v>Znečištění ovzduší</v>
      </c>
      <c r="D52" s="1157"/>
      <c r="E52" s="2220"/>
      <c r="F52" s="1148"/>
      <c r="G52" s="1148"/>
      <c r="H52" s="1148"/>
      <c r="I52" s="1148"/>
      <c r="J52" s="1148"/>
      <c r="K52" s="1148"/>
      <c r="L52" s="1148"/>
      <c r="M52" s="1148"/>
      <c r="N52" s="1148"/>
      <c r="O52" s="1148"/>
      <c r="P52" s="1148"/>
      <c r="Q52" s="1148"/>
      <c r="R52" s="1148"/>
      <c r="S52" s="2221"/>
      <c r="T52" s="2039"/>
      <c r="U52" s="1144"/>
      <c r="V52" s="1144"/>
      <c r="W52" s="1144"/>
      <c r="X52" s="1144"/>
      <c r="Y52" s="1144"/>
      <c r="Z52" s="1144"/>
      <c r="AA52" s="1144"/>
      <c r="AB52" s="1144"/>
      <c r="AC52" s="1144"/>
    </row>
    <row r="53" spans="1:29" s="1145" customFormat="1" ht="12" customHeight="1" thickBot="1" x14ac:dyDescent="0.35">
      <c r="A53" s="1141"/>
      <c r="B53" s="2440"/>
      <c r="C53" s="1155" t="str">
        <f t="shared" si="8"/>
        <v>Klimatické změny</v>
      </c>
      <c r="D53" s="1158"/>
      <c r="E53" s="2222"/>
      <c r="F53" s="1152"/>
      <c r="G53" s="1152"/>
      <c r="H53" s="1152"/>
      <c r="I53" s="1152"/>
      <c r="J53" s="1152"/>
      <c r="K53" s="1152"/>
      <c r="L53" s="1152"/>
      <c r="M53" s="1152"/>
      <c r="N53" s="1152"/>
      <c r="O53" s="1152"/>
      <c r="P53" s="1152"/>
      <c r="Q53" s="1152"/>
      <c r="R53" s="1152"/>
      <c r="S53" s="2223"/>
      <c r="T53" s="2039"/>
      <c r="U53" s="1144"/>
      <c r="V53" s="1144"/>
      <c r="W53" s="1144"/>
      <c r="X53" s="1144"/>
      <c r="Y53" s="1144"/>
      <c r="Z53" s="1144"/>
      <c r="AA53" s="1144"/>
      <c r="AB53" s="1144"/>
      <c r="AC53" s="1144"/>
    </row>
    <row r="54" spans="1:29" ht="12" customHeight="1" x14ac:dyDescent="0.3">
      <c r="A54" s="666"/>
      <c r="B54" s="2436" t="str">
        <f>B20</f>
        <v>VODNÍ os. doprava</v>
      </c>
      <c r="C54" s="604" t="str">
        <f t="shared" si="8"/>
        <v>Nehody</v>
      </c>
      <c r="D54" s="658"/>
      <c r="E54" s="2193"/>
      <c r="F54" s="1151"/>
      <c r="G54" s="1151"/>
      <c r="H54" s="1151"/>
      <c r="I54" s="1151"/>
      <c r="J54" s="1151"/>
      <c r="K54" s="1151"/>
      <c r="L54" s="1151"/>
      <c r="M54" s="1151"/>
      <c r="N54" s="1151"/>
      <c r="O54" s="1151"/>
      <c r="P54" s="692"/>
      <c r="Q54" s="692"/>
      <c r="R54" s="692"/>
      <c r="S54" s="2204"/>
      <c r="T54" s="1981"/>
      <c r="U54" s="590"/>
      <c r="V54" s="590"/>
      <c r="W54" s="590"/>
      <c r="X54" s="590"/>
      <c r="Y54" s="590"/>
      <c r="Z54" s="590"/>
      <c r="AA54" s="590"/>
      <c r="AB54" s="590"/>
      <c r="AC54" s="590"/>
    </row>
    <row r="55" spans="1:29" ht="12" customHeight="1" x14ac:dyDescent="0.3">
      <c r="A55" s="666"/>
      <c r="B55" s="2446"/>
      <c r="C55" s="1239" t="str">
        <f t="shared" si="8"/>
        <v>Hluk</v>
      </c>
      <c r="D55" s="1240"/>
      <c r="E55" s="2199"/>
      <c r="F55" s="1241"/>
      <c r="G55" s="1241"/>
      <c r="H55" s="1241"/>
      <c r="I55" s="1241"/>
      <c r="J55" s="1241"/>
      <c r="K55" s="1241"/>
      <c r="L55" s="1241"/>
      <c r="M55" s="1241"/>
      <c r="N55" s="1241"/>
      <c r="O55" s="1241"/>
      <c r="P55" s="1242"/>
      <c r="Q55" s="1242"/>
      <c r="R55" s="1242"/>
      <c r="S55" s="2207"/>
      <c r="T55" s="1981"/>
      <c r="U55" s="590"/>
      <c r="V55" s="590"/>
      <c r="W55" s="590"/>
      <c r="X55" s="590"/>
      <c r="Y55" s="590"/>
      <c r="Z55" s="590"/>
      <c r="AA55" s="590"/>
      <c r="AB55" s="590"/>
      <c r="AC55" s="590"/>
    </row>
    <row r="56" spans="1:29" s="1145" customFormat="1" ht="12" customHeight="1" x14ac:dyDescent="0.3">
      <c r="A56" s="1141"/>
      <c r="B56" s="2445" t="str">
        <f>B22</f>
        <v>VODNÍ nákladní doprava</v>
      </c>
      <c r="C56" s="1146" t="str">
        <f t="shared" si="8"/>
        <v>Nehody</v>
      </c>
      <c r="D56" s="1157"/>
      <c r="E56" s="2220"/>
      <c r="F56" s="1148"/>
      <c r="G56" s="1148"/>
      <c r="H56" s="1148"/>
      <c r="I56" s="1148"/>
      <c r="J56" s="1148"/>
      <c r="K56" s="1148"/>
      <c r="L56" s="1148"/>
      <c r="M56" s="1148"/>
      <c r="N56" s="1148"/>
      <c r="O56" s="1148"/>
      <c r="P56" s="1148"/>
      <c r="Q56" s="1148"/>
      <c r="R56" s="1148"/>
      <c r="S56" s="2221"/>
      <c r="T56" s="2039"/>
      <c r="U56" s="1144"/>
      <c r="V56" s="1144"/>
      <c r="W56" s="1144"/>
      <c r="X56" s="1144"/>
      <c r="Y56" s="1144"/>
      <c r="Z56" s="1144"/>
      <c r="AA56" s="1144"/>
      <c r="AB56" s="1144"/>
      <c r="AC56" s="1144"/>
    </row>
    <row r="57" spans="1:29" s="1145" customFormat="1" ht="14.25" x14ac:dyDescent="0.3">
      <c r="A57" s="1141"/>
      <c r="B57" s="2439"/>
      <c r="C57" s="1146" t="str">
        <f t="shared" si="8"/>
        <v>Hluk</v>
      </c>
      <c r="D57" s="1157"/>
      <c r="E57" s="2220"/>
      <c r="F57" s="1148"/>
      <c r="G57" s="1148"/>
      <c r="H57" s="1148"/>
      <c r="I57" s="1148"/>
      <c r="J57" s="1148"/>
      <c r="K57" s="1148"/>
      <c r="L57" s="1148"/>
      <c r="M57" s="1148"/>
      <c r="N57" s="1148"/>
      <c r="O57" s="1148"/>
      <c r="P57" s="1148"/>
      <c r="Q57" s="1148"/>
      <c r="R57" s="1148"/>
      <c r="S57" s="2221"/>
      <c r="T57" s="2039"/>
      <c r="U57" s="1144"/>
      <c r="V57" s="1144"/>
      <c r="W57" s="1144"/>
      <c r="X57" s="1144"/>
      <c r="Y57" s="1144"/>
      <c r="Z57" s="1144"/>
      <c r="AA57" s="1144"/>
      <c r="AB57" s="1144"/>
      <c r="AC57" s="1144"/>
    </row>
    <row r="58" spans="1:29" s="1145" customFormat="1" ht="14.25" x14ac:dyDescent="0.3">
      <c r="A58" s="1141"/>
      <c r="B58" s="2439"/>
      <c r="C58" s="1146" t="str">
        <f t="shared" si="8"/>
        <v>Znečištění ovzduší</v>
      </c>
      <c r="D58" s="1157"/>
      <c r="E58" s="2220"/>
      <c r="F58" s="1148"/>
      <c r="G58" s="1148"/>
      <c r="H58" s="1148"/>
      <c r="I58" s="1148"/>
      <c r="J58" s="1148"/>
      <c r="K58" s="1148"/>
      <c r="L58" s="1148"/>
      <c r="M58" s="1148"/>
      <c r="N58" s="1148"/>
      <c r="O58" s="1148"/>
      <c r="P58" s="1148"/>
      <c r="Q58" s="1148"/>
      <c r="R58" s="1148"/>
      <c r="S58" s="2221"/>
      <c r="T58" s="2039"/>
      <c r="U58" s="1144"/>
      <c r="V58" s="1144"/>
      <c r="W58" s="1144"/>
      <c r="X58" s="1144"/>
      <c r="Y58" s="1144"/>
      <c r="Z58" s="1144"/>
      <c r="AA58" s="1144"/>
      <c r="AB58" s="1144"/>
      <c r="AC58" s="1144"/>
    </row>
    <row r="59" spans="1:29" s="1145" customFormat="1" ht="15" thickBot="1" x14ac:dyDescent="0.35">
      <c r="A59" s="1141"/>
      <c r="B59" s="2442"/>
      <c r="C59" s="1146" t="str">
        <f t="shared" si="8"/>
        <v>Klimatické změny</v>
      </c>
      <c r="D59" s="1157"/>
      <c r="E59" s="2220"/>
      <c r="F59" s="1148"/>
      <c r="G59" s="1148"/>
      <c r="H59" s="1148"/>
      <c r="I59" s="1148"/>
      <c r="J59" s="1148"/>
      <c r="K59" s="1148"/>
      <c r="L59" s="1148"/>
      <c r="M59" s="1148"/>
      <c r="N59" s="1148"/>
      <c r="O59" s="1148"/>
      <c r="P59" s="1148"/>
      <c r="Q59" s="1148"/>
      <c r="R59" s="1148"/>
      <c r="S59" s="2221"/>
      <c r="T59" s="2039"/>
      <c r="U59" s="1144"/>
      <c r="V59" s="1144"/>
      <c r="W59" s="1144"/>
      <c r="X59" s="1144"/>
      <c r="Y59" s="1144"/>
      <c r="Z59" s="1144"/>
      <c r="AA59" s="1144"/>
      <c r="AB59" s="1144"/>
      <c r="AC59" s="1144"/>
    </row>
    <row r="60" spans="1:29" ht="12" customHeight="1" x14ac:dyDescent="0.3">
      <c r="A60" s="666"/>
      <c r="B60" s="2436" t="str">
        <f>B26</f>
        <v>OSTATNÍ osobní doprava</v>
      </c>
      <c r="C60" s="604" t="str">
        <f t="shared" si="8"/>
        <v>Nehody</v>
      </c>
      <c r="D60" s="658"/>
      <c r="E60" s="2193"/>
      <c r="F60" s="1151"/>
      <c r="G60" s="1151"/>
      <c r="H60" s="1151"/>
      <c r="I60" s="1151"/>
      <c r="J60" s="1151"/>
      <c r="K60" s="1151"/>
      <c r="L60" s="1151"/>
      <c r="M60" s="1151"/>
      <c r="N60" s="1151"/>
      <c r="O60" s="1151"/>
      <c r="P60" s="692"/>
      <c r="Q60" s="692"/>
      <c r="R60" s="692"/>
      <c r="S60" s="2204"/>
      <c r="T60" s="1981"/>
      <c r="U60" s="590"/>
      <c r="V60" s="590"/>
      <c r="W60" s="590"/>
      <c r="X60" s="590"/>
      <c r="Y60" s="590"/>
      <c r="Z60" s="590"/>
      <c r="AA60" s="590"/>
      <c r="AB60" s="590"/>
      <c r="AC60" s="590"/>
    </row>
    <row r="61" spans="1:29" ht="14.25" x14ac:dyDescent="0.3">
      <c r="A61" s="666"/>
      <c r="B61" s="2437"/>
      <c r="C61" s="607" t="str">
        <f t="shared" si="8"/>
        <v>Hluk</v>
      </c>
      <c r="D61" s="625"/>
      <c r="E61" s="2195"/>
      <c r="F61" s="691"/>
      <c r="G61" s="691"/>
      <c r="H61" s="691"/>
      <c r="I61" s="691"/>
      <c r="J61" s="691"/>
      <c r="K61" s="691"/>
      <c r="L61" s="691"/>
      <c r="M61" s="691"/>
      <c r="N61" s="691"/>
      <c r="O61" s="691"/>
      <c r="P61" s="693"/>
      <c r="Q61" s="693"/>
      <c r="R61" s="693"/>
      <c r="S61" s="2205"/>
      <c r="T61" s="1981"/>
      <c r="U61" s="590"/>
      <c r="V61" s="590"/>
      <c r="W61" s="590"/>
      <c r="X61" s="590"/>
      <c r="Y61" s="590"/>
      <c r="Z61" s="590"/>
      <c r="AA61" s="590"/>
      <c r="AB61" s="590"/>
      <c r="AC61" s="590"/>
    </row>
    <row r="62" spans="1:29" ht="14.25" x14ac:dyDescent="0.3">
      <c r="A62" s="666"/>
      <c r="B62" s="2437"/>
      <c r="C62" s="607" t="str">
        <f t="shared" si="8"/>
        <v>Znečištění ovzduší</v>
      </c>
      <c r="D62" s="625"/>
      <c r="E62" s="2195"/>
      <c r="F62" s="691"/>
      <c r="G62" s="691"/>
      <c r="H62" s="691"/>
      <c r="I62" s="691"/>
      <c r="J62" s="691"/>
      <c r="K62" s="691"/>
      <c r="L62" s="691"/>
      <c r="M62" s="691"/>
      <c r="N62" s="691"/>
      <c r="O62" s="691"/>
      <c r="P62" s="693"/>
      <c r="Q62" s="693"/>
      <c r="R62" s="693"/>
      <c r="S62" s="2205"/>
      <c r="T62" s="1981"/>
      <c r="U62" s="590"/>
      <c r="V62" s="590"/>
      <c r="W62" s="590"/>
      <c r="X62" s="590"/>
      <c r="Y62" s="590"/>
      <c r="Z62" s="590"/>
      <c r="AA62" s="590"/>
      <c r="AB62" s="590"/>
      <c r="AC62" s="590"/>
    </row>
    <row r="63" spans="1:29" ht="14.25" x14ac:dyDescent="0.3">
      <c r="A63" s="666"/>
      <c r="B63" s="2437"/>
      <c r="C63" s="613" t="str">
        <f t="shared" si="8"/>
        <v>Klimatické změny</v>
      </c>
      <c r="D63" s="1240"/>
      <c r="E63" s="2199"/>
      <c r="F63" s="1241"/>
      <c r="G63" s="1241"/>
      <c r="H63" s="1241"/>
      <c r="I63" s="1241"/>
      <c r="J63" s="1241"/>
      <c r="K63" s="1241"/>
      <c r="L63" s="1241"/>
      <c r="M63" s="1241"/>
      <c r="N63" s="1241"/>
      <c r="O63" s="1241"/>
      <c r="P63" s="1242"/>
      <c r="Q63" s="1242"/>
      <c r="R63" s="1242"/>
      <c r="S63" s="2207"/>
      <c r="T63" s="1981"/>
      <c r="U63" s="590"/>
      <c r="V63" s="590"/>
      <c r="W63" s="590"/>
      <c r="X63" s="590"/>
      <c r="Y63" s="590"/>
      <c r="Z63" s="590"/>
      <c r="AA63" s="590"/>
      <c r="AB63" s="590"/>
      <c r="AC63" s="590"/>
    </row>
    <row r="64" spans="1:29" s="1145" customFormat="1" ht="12" customHeight="1" x14ac:dyDescent="0.3">
      <c r="A64" s="1141"/>
      <c r="B64" s="2438" t="str">
        <f>B30</f>
        <v>OSTATNÍ nákladní doprava</v>
      </c>
      <c r="C64" s="1146" t="str">
        <f t="shared" si="8"/>
        <v>Nehody</v>
      </c>
      <c r="D64" s="1157"/>
      <c r="E64" s="2220"/>
      <c r="F64" s="1148"/>
      <c r="G64" s="1148"/>
      <c r="H64" s="1148"/>
      <c r="I64" s="1148"/>
      <c r="J64" s="1148"/>
      <c r="K64" s="1148"/>
      <c r="L64" s="1148"/>
      <c r="M64" s="1148"/>
      <c r="N64" s="1148"/>
      <c r="O64" s="1148"/>
      <c r="P64" s="1148"/>
      <c r="Q64" s="1148"/>
      <c r="R64" s="1148"/>
      <c r="S64" s="2221"/>
      <c r="T64" s="2039"/>
      <c r="U64" s="1144"/>
      <c r="V64" s="1144"/>
      <c r="W64" s="1144"/>
      <c r="X64" s="1144"/>
      <c r="Y64" s="1144"/>
      <c r="Z64" s="1144"/>
      <c r="AA64" s="1144"/>
      <c r="AB64" s="1144"/>
      <c r="AC64" s="1144"/>
    </row>
    <row r="65" spans="1:29" s="1145" customFormat="1" ht="14.25" x14ac:dyDescent="0.3">
      <c r="A65" s="1141"/>
      <c r="B65" s="2439"/>
      <c r="C65" s="1146" t="str">
        <f t="shared" si="8"/>
        <v>Hluk</v>
      </c>
      <c r="D65" s="1157"/>
      <c r="E65" s="2220"/>
      <c r="F65" s="1148"/>
      <c r="G65" s="1148"/>
      <c r="H65" s="1148"/>
      <c r="I65" s="1148"/>
      <c r="J65" s="1148"/>
      <c r="K65" s="1148"/>
      <c r="L65" s="1148"/>
      <c r="M65" s="1148"/>
      <c r="N65" s="1148"/>
      <c r="O65" s="1148"/>
      <c r="P65" s="1148"/>
      <c r="Q65" s="1148"/>
      <c r="R65" s="1148"/>
      <c r="S65" s="2221"/>
      <c r="T65" s="2039"/>
      <c r="U65" s="1144"/>
      <c r="V65" s="1144"/>
      <c r="W65" s="1144"/>
      <c r="X65" s="1144"/>
      <c r="Y65" s="1144"/>
      <c r="Z65" s="1144"/>
      <c r="AA65" s="1144"/>
      <c r="AB65" s="1144"/>
      <c r="AC65" s="1144"/>
    </row>
    <row r="66" spans="1:29" s="1145" customFormat="1" ht="14.25" x14ac:dyDescent="0.3">
      <c r="A66" s="1141"/>
      <c r="B66" s="2439"/>
      <c r="C66" s="1146" t="str">
        <f t="shared" si="8"/>
        <v>Znečištění ovzduší</v>
      </c>
      <c r="D66" s="1157"/>
      <c r="E66" s="2220"/>
      <c r="F66" s="1148"/>
      <c r="G66" s="1148"/>
      <c r="H66" s="1148"/>
      <c r="I66" s="1148"/>
      <c r="J66" s="1148"/>
      <c r="K66" s="1148"/>
      <c r="L66" s="1148"/>
      <c r="M66" s="1148"/>
      <c r="N66" s="1148"/>
      <c r="O66" s="1148"/>
      <c r="P66" s="1148"/>
      <c r="Q66" s="1148"/>
      <c r="R66" s="1148"/>
      <c r="S66" s="2221"/>
      <c r="T66" s="2039"/>
      <c r="U66" s="1144"/>
      <c r="V66" s="1144"/>
      <c r="W66" s="1144"/>
      <c r="X66" s="1144"/>
      <c r="Y66" s="1144"/>
      <c r="Z66" s="1144"/>
      <c r="AA66" s="1144"/>
      <c r="AB66" s="1144"/>
      <c r="AC66" s="1144"/>
    </row>
    <row r="67" spans="1:29" s="1145" customFormat="1" ht="14.25" x14ac:dyDescent="0.3">
      <c r="A67" s="1141"/>
      <c r="B67" s="2439"/>
      <c r="C67" s="1147" t="str">
        <f t="shared" si="8"/>
        <v>Klimatické změny</v>
      </c>
      <c r="D67" s="2037"/>
      <c r="E67" s="2224"/>
      <c r="F67" s="2225"/>
      <c r="G67" s="2225"/>
      <c r="H67" s="2225"/>
      <c r="I67" s="2225"/>
      <c r="J67" s="2225"/>
      <c r="K67" s="2225"/>
      <c r="L67" s="2225"/>
      <c r="M67" s="2225"/>
      <c r="N67" s="2225"/>
      <c r="O67" s="2225"/>
      <c r="P67" s="2225"/>
      <c r="Q67" s="2225"/>
      <c r="R67" s="2225"/>
      <c r="S67" s="2226"/>
      <c r="T67" s="2039"/>
      <c r="U67" s="1144"/>
      <c r="V67" s="1144"/>
      <c r="W67" s="1144"/>
      <c r="X67" s="1144"/>
      <c r="Y67" s="1144"/>
      <c r="Z67" s="1144"/>
      <c r="AA67" s="1144"/>
      <c r="AB67" s="1144"/>
      <c r="AC67" s="1144"/>
    </row>
    <row r="68" spans="1:29" ht="15" thickBot="1" x14ac:dyDescent="0.35">
      <c r="A68" s="675"/>
      <c r="B68" s="768"/>
      <c r="C68" s="841" t="str">
        <f t="shared" si="8"/>
        <v>Celkové externí náklady</v>
      </c>
      <c r="D68" s="770"/>
      <c r="E68" s="2040">
        <f t="shared" ref="E68:S68" si="13">SUM(E38:E67)</f>
        <v>544612.37333830493</v>
      </c>
      <c r="F68" s="2041">
        <f t="shared" si="13"/>
        <v>553609.36974585394</v>
      </c>
      <c r="G68" s="2041">
        <f t="shared" si="13"/>
        <v>562754.99653405545</v>
      </c>
      <c r="H68" s="2041">
        <f t="shared" si="13"/>
        <v>572051.70907679806</v>
      </c>
      <c r="I68" s="2041">
        <f t="shared" si="13"/>
        <v>581502.00331074686</v>
      </c>
      <c r="J68" s="2041">
        <f t="shared" si="13"/>
        <v>591108.41640544031</v>
      </c>
      <c r="K68" s="2041">
        <f t="shared" si="13"/>
        <v>600873.52744445822</v>
      </c>
      <c r="L68" s="2041">
        <f t="shared" si="13"/>
        <v>610799.9581178407</v>
      </c>
      <c r="M68" s="2041">
        <f t="shared" si="13"/>
        <v>620890.37342594762</v>
      </c>
      <c r="N68" s="2041">
        <f t="shared" si="13"/>
        <v>631147.48239494429</v>
      </c>
      <c r="O68" s="2041">
        <f t="shared" si="13"/>
        <v>641574.03880410898</v>
      </c>
      <c r="P68" s="2041">
        <f t="shared" si="13"/>
        <v>652172.84192515269</v>
      </c>
      <c r="Q68" s="2041">
        <f t="shared" si="13"/>
        <v>3465544.99940744</v>
      </c>
      <c r="R68" s="2041">
        <f t="shared" si="13"/>
        <v>673898.61737351876</v>
      </c>
      <c r="S68" s="2042">
        <f t="shared" si="13"/>
        <v>685031.42253252957</v>
      </c>
      <c r="T68" s="679"/>
      <c r="U68" s="679"/>
      <c r="V68" s="679"/>
      <c r="W68" s="679"/>
      <c r="X68" s="679"/>
      <c r="Y68" s="679"/>
      <c r="Z68" s="679"/>
      <c r="AA68" s="679"/>
      <c r="AB68" s="679"/>
      <c r="AC68" s="679"/>
    </row>
    <row r="69" spans="1:29" x14ac:dyDescent="0.3">
      <c r="A69" s="675"/>
      <c r="B69" s="676"/>
      <c r="C69" s="675"/>
      <c r="D69" s="590"/>
      <c r="E69" s="679"/>
      <c r="F69" s="679"/>
      <c r="G69" s="679"/>
      <c r="H69" s="679"/>
      <c r="I69" s="679"/>
      <c r="J69" s="679"/>
      <c r="K69" s="679"/>
      <c r="L69" s="679"/>
      <c r="M69" s="679"/>
      <c r="N69" s="679"/>
      <c r="O69" s="679"/>
      <c r="P69" s="679"/>
      <c r="Q69" s="679"/>
      <c r="R69" s="679"/>
      <c r="S69" s="679"/>
      <c r="T69" s="679"/>
      <c r="U69" s="679"/>
      <c r="V69" s="679"/>
      <c r="W69" s="679"/>
      <c r="X69" s="679"/>
      <c r="Y69" s="679"/>
      <c r="Z69" s="679"/>
      <c r="AA69" s="679"/>
      <c r="AB69" s="679"/>
      <c r="AC69" s="679"/>
    </row>
    <row r="70" spans="1:29" ht="14.25" thickBot="1" x14ac:dyDescent="0.35">
      <c r="A70" s="666"/>
      <c r="B70" s="667"/>
      <c r="C70" s="667"/>
      <c r="D70" s="667"/>
      <c r="E70" s="667"/>
      <c r="F70" s="667"/>
      <c r="G70" s="667"/>
      <c r="H70" s="667"/>
      <c r="I70" s="667"/>
      <c r="J70" s="667"/>
      <c r="K70" s="667"/>
      <c r="L70" s="667"/>
      <c r="M70" s="667"/>
      <c r="N70" s="667"/>
      <c r="O70" s="667"/>
      <c r="P70" s="667"/>
      <c r="Q70" s="667"/>
      <c r="R70" s="667"/>
      <c r="S70" s="667"/>
      <c r="T70" s="666"/>
      <c r="U70" s="666"/>
      <c r="V70" s="666"/>
      <c r="W70" s="666"/>
      <c r="X70" s="666"/>
      <c r="Y70" s="666"/>
      <c r="Z70" s="666"/>
      <c r="AA70" s="666"/>
      <c r="AB70" s="666"/>
      <c r="AC70" s="666"/>
    </row>
    <row r="71" spans="1:29" ht="14.25" x14ac:dyDescent="0.3">
      <c r="A71" s="666"/>
      <c r="B71" s="1160" t="s">
        <v>109</v>
      </c>
      <c r="C71" s="1161" t="str">
        <f>C36</f>
        <v>Externí náklady (CZK)</v>
      </c>
      <c r="D71" s="1162"/>
      <c r="E71" s="2449">
        <f>E2</f>
        <v>2021</v>
      </c>
      <c r="F71" s="2443">
        <f t="shared" ref="F71:S71" si="14">E71+1</f>
        <v>2022</v>
      </c>
      <c r="G71" s="2443">
        <f t="shared" si="14"/>
        <v>2023</v>
      </c>
      <c r="H71" s="2443">
        <f t="shared" si="14"/>
        <v>2024</v>
      </c>
      <c r="I71" s="2443">
        <f t="shared" si="14"/>
        <v>2025</v>
      </c>
      <c r="J71" s="2443">
        <f t="shared" si="14"/>
        <v>2026</v>
      </c>
      <c r="K71" s="2443">
        <f t="shared" si="14"/>
        <v>2027</v>
      </c>
      <c r="L71" s="2443">
        <f t="shared" si="14"/>
        <v>2028</v>
      </c>
      <c r="M71" s="2443">
        <f t="shared" si="14"/>
        <v>2029</v>
      </c>
      <c r="N71" s="2443">
        <f t="shared" si="14"/>
        <v>2030</v>
      </c>
      <c r="O71" s="2443">
        <f t="shared" si="14"/>
        <v>2031</v>
      </c>
      <c r="P71" s="2443">
        <f t="shared" si="14"/>
        <v>2032</v>
      </c>
      <c r="Q71" s="2443">
        <f t="shared" si="14"/>
        <v>2033</v>
      </c>
      <c r="R71" s="2443">
        <f t="shared" si="14"/>
        <v>2034</v>
      </c>
      <c r="S71" s="2447">
        <f t="shared" si="14"/>
        <v>2035</v>
      </c>
      <c r="T71" s="669"/>
      <c r="U71" s="669"/>
      <c r="V71" s="669"/>
      <c r="W71" s="669"/>
      <c r="X71" s="669"/>
      <c r="Y71" s="669"/>
      <c r="Z71" s="669"/>
      <c r="AA71" s="669"/>
      <c r="AB71" s="669"/>
      <c r="AC71" s="669"/>
    </row>
    <row r="72" spans="1:29" ht="15" thickBot="1" x14ac:dyDescent="0.35">
      <c r="A72" s="666"/>
      <c r="B72" s="1163" t="s">
        <v>23</v>
      </c>
      <c r="C72" s="1164" t="str">
        <f>IF('0 Úvod'!$M$10="English",Slovnik!$D$283,Slovnik!$C$283)</f>
        <v>Scénář bez projektu</v>
      </c>
      <c r="D72" s="1165" t="str">
        <f>D3</f>
        <v>Celkem</v>
      </c>
      <c r="E72" s="2450"/>
      <c r="F72" s="2444"/>
      <c r="G72" s="2444"/>
      <c r="H72" s="2444"/>
      <c r="I72" s="2444"/>
      <c r="J72" s="2444"/>
      <c r="K72" s="2444"/>
      <c r="L72" s="2444"/>
      <c r="M72" s="2444"/>
      <c r="N72" s="2444"/>
      <c r="O72" s="2444"/>
      <c r="P72" s="2444"/>
      <c r="Q72" s="2444"/>
      <c r="R72" s="2444"/>
      <c r="S72" s="2448"/>
      <c r="T72" s="669"/>
      <c r="U72" s="669"/>
      <c r="V72" s="669"/>
      <c r="W72" s="669"/>
      <c r="X72" s="669"/>
      <c r="Y72" s="669"/>
      <c r="Z72" s="669"/>
      <c r="AA72" s="669"/>
      <c r="AB72" s="669"/>
      <c r="AC72" s="669"/>
    </row>
    <row r="73" spans="1:29" ht="12" customHeight="1" x14ac:dyDescent="0.3">
      <c r="A73" s="666"/>
      <c r="B73" s="2436" t="str">
        <f>B38</f>
        <v>ŽELEZNIČNÍ osobní doprava</v>
      </c>
      <c r="C73" s="607" t="str">
        <f>C38</f>
        <v>Nehody</v>
      </c>
      <c r="D73" s="605">
        <f t="shared" ref="D73:D103" si="15">SUM(E73:S73,E107:S107)</f>
        <v>-126038.68266886576</v>
      </c>
      <c r="E73" s="2215"/>
      <c r="F73" s="692"/>
      <c r="G73" s="692">
        <f>-G283*$U$283*$F$185/1000*G524</f>
        <v>-50289.669721198195</v>
      </c>
      <c r="H73" s="692"/>
      <c r="I73" s="692"/>
      <c r="J73" s="692"/>
      <c r="K73" s="692"/>
      <c r="L73" s="692"/>
      <c r="M73" s="692"/>
      <c r="N73" s="692"/>
      <c r="O73" s="692"/>
      <c r="P73" s="692"/>
      <c r="Q73" s="692"/>
      <c r="R73" s="692"/>
      <c r="S73" s="2204"/>
      <c r="T73" s="1981"/>
      <c r="U73" s="590"/>
      <c r="V73" s="590"/>
      <c r="W73" s="590"/>
      <c r="X73" s="590"/>
      <c r="Y73" s="590"/>
      <c r="Z73" s="590"/>
      <c r="AA73" s="590"/>
      <c r="AB73" s="590"/>
      <c r="AC73" s="590"/>
    </row>
    <row r="74" spans="1:29" ht="12" customHeight="1" x14ac:dyDescent="0.3">
      <c r="A74" s="666"/>
      <c r="B74" s="2437"/>
      <c r="C74" s="607" t="str">
        <f t="shared" ref="C74:C103" si="16">C39</f>
        <v>Hluk</v>
      </c>
      <c r="D74" s="608">
        <f t="shared" si="15"/>
        <v>-258710.98021504027</v>
      </c>
      <c r="E74" s="2209"/>
      <c r="F74" s="693"/>
      <c r="G74" s="693">
        <f>-G283*$U$283*$F$209/1000*G524</f>
        <v>-103226.16416456472</v>
      </c>
      <c r="H74" s="693"/>
      <c r="I74" s="693"/>
      <c r="J74" s="693"/>
      <c r="K74" s="693"/>
      <c r="L74" s="693"/>
      <c r="M74" s="693"/>
      <c r="N74" s="693"/>
      <c r="O74" s="693"/>
      <c r="P74" s="693"/>
      <c r="Q74" s="693"/>
      <c r="R74" s="693"/>
      <c r="S74" s="2205"/>
      <c r="T74" s="1981"/>
      <c r="U74" s="590"/>
      <c r="V74" s="590"/>
      <c r="W74" s="590"/>
      <c r="X74" s="590"/>
      <c r="Y74" s="590"/>
      <c r="Z74" s="590"/>
      <c r="AA74" s="590"/>
      <c r="AB74" s="590"/>
      <c r="AC74" s="590"/>
    </row>
    <row r="75" spans="1:29" ht="12" customHeight="1" x14ac:dyDescent="0.3">
      <c r="A75" s="666"/>
      <c r="B75" s="2437"/>
      <c r="C75" s="607" t="str">
        <f t="shared" si="16"/>
        <v>Znečištění ovzduší</v>
      </c>
      <c r="D75" s="608">
        <f t="shared" si="15"/>
        <v>-21912.147006564966</v>
      </c>
      <c r="E75" s="2209"/>
      <c r="F75" s="693"/>
      <c r="G75" s="693">
        <f>-(G282*($E$224*$F$237+$F$224*$G$237+$H$225*$H$237+$I$225*$I$237)+G283*($E$224*$F$238+$F$224*$G$238+$H$225*$H$238+$I$225*$I$238))*G524/1000^2</f>
        <v>-8742.9875694400616</v>
      </c>
      <c r="H75" s="693"/>
      <c r="I75" s="693"/>
      <c r="J75" s="693"/>
      <c r="K75" s="693"/>
      <c r="L75" s="693"/>
      <c r="M75" s="693"/>
      <c r="N75" s="693"/>
      <c r="O75" s="693"/>
      <c r="P75" s="693"/>
      <c r="Q75" s="693"/>
      <c r="R75" s="693"/>
      <c r="S75" s="2205"/>
      <c r="T75" s="1981"/>
      <c r="U75" s="590"/>
      <c r="V75" s="590"/>
      <c r="W75" s="590"/>
      <c r="X75" s="590"/>
      <c r="Y75" s="590"/>
      <c r="Z75" s="590"/>
      <c r="AA75" s="590"/>
      <c r="AB75" s="590"/>
      <c r="AC75" s="590"/>
    </row>
    <row r="76" spans="1:29" ht="12" customHeight="1" x14ac:dyDescent="0.3">
      <c r="A76" s="666"/>
      <c r="B76" s="2437"/>
      <c r="C76" s="864" t="str">
        <f t="shared" si="16"/>
        <v>Klimatické změny</v>
      </c>
      <c r="D76" s="1238">
        <f t="shared" si="15"/>
        <v>-12700.458181745717</v>
      </c>
      <c r="E76" s="2208"/>
      <c r="F76" s="1242"/>
      <c r="G76" s="1242">
        <f>-(G282*$D$224*$E$237+G283*$D$224*$E$238)*G524/1000^2</f>
        <v>-5067.5065284989241</v>
      </c>
      <c r="H76" s="1242"/>
      <c r="I76" s="1242"/>
      <c r="J76" s="1242"/>
      <c r="K76" s="1242"/>
      <c r="L76" s="1242"/>
      <c r="M76" s="1242"/>
      <c r="N76" s="1242"/>
      <c r="O76" s="1242"/>
      <c r="P76" s="1242"/>
      <c r="Q76" s="1242"/>
      <c r="R76" s="1242"/>
      <c r="S76" s="2207"/>
      <c r="T76" s="1981"/>
      <c r="U76" s="590"/>
      <c r="V76" s="590"/>
      <c r="W76" s="590"/>
      <c r="X76" s="590"/>
      <c r="Y76" s="590"/>
      <c r="Z76" s="590"/>
      <c r="AA76" s="590"/>
      <c r="AB76" s="590"/>
      <c r="AC76" s="590"/>
    </row>
    <row r="77" spans="1:29" s="1145" customFormat="1" ht="12" customHeight="1" x14ac:dyDescent="0.3">
      <c r="A77" s="1141"/>
      <c r="B77" s="2438" t="str">
        <f>B42</f>
        <v>ŽELEZNIČNÍ nákladní doprava</v>
      </c>
      <c r="C77" s="1146" t="str">
        <f t="shared" si="16"/>
        <v>Nehody</v>
      </c>
      <c r="D77" s="1153">
        <f t="shared" si="15"/>
        <v>0</v>
      </c>
      <c r="E77" s="2216"/>
      <c r="F77" s="1142"/>
      <c r="G77" s="1142"/>
      <c r="H77" s="1142"/>
      <c r="I77" s="1142"/>
      <c r="J77" s="2034"/>
      <c r="K77" s="1142"/>
      <c r="L77" s="1142"/>
      <c r="M77" s="1142"/>
      <c r="N77" s="1142"/>
      <c r="O77" s="1142"/>
      <c r="P77" s="1142"/>
      <c r="Q77" s="1142"/>
      <c r="R77" s="1142"/>
      <c r="S77" s="2217"/>
      <c r="T77" s="2039"/>
      <c r="U77" s="1144"/>
      <c r="V77" s="1144"/>
      <c r="W77" s="1144"/>
      <c r="X77" s="1144"/>
      <c r="Y77" s="1144"/>
      <c r="Z77" s="1144"/>
      <c r="AA77" s="1144"/>
      <c r="AB77" s="1144"/>
      <c r="AC77" s="1144"/>
    </row>
    <row r="78" spans="1:29" s="1145" customFormat="1" ht="12" customHeight="1" x14ac:dyDescent="0.3">
      <c r="A78" s="1141"/>
      <c r="B78" s="2439"/>
      <c r="C78" s="1146" t="str">
        <f t="shared" si="16"/>
        <v>Hluk</v>
      </c>
      <c r="D78" s="1153">
        <f t="shared" si="15"/>
        <v>0</v>
      </c>
      <c r="E78" s="2216"/>
      <c r="F78" s="1142"/>
      <c r="G78" s="1142"/>
      <c r="H78" s="1142"/>
      <c r="I78" s="1142"/>
      <c r="J78" s="1142"/>
      <c r="K78" s="1142"/>
      <c r="L78" s="1142"/>
      <c r="M78" s="1142"/>
      <c r="N78" s="1142"/>
      <c r="O78" s="1142"/>
      <c r="P78" s="1142"/>
      <c r="Q78" s="1142"/>
      <c r="R78" s="1142"/>
      <c r="S78" s="2217"/>
      <c r="T78" s="2039"/>
      <c r="U78" s="1144"/>
      <c r="V78" s="1144"/>
      <c r="W78" s="1144"/>
      <c r="X78" s="1144"/>
      <c r="Y78" s="1144"/>
      <c r="Z78" s="1144"/>
      <c r="AA78" s="1144"/>
      <c r="AB78" s="1144"/>
      <c r="AC78" s="1144"/>
    </row>
    <row r="79" spans="1:29" s="1145" customFormat="1" ht="12" customHeight="1" x14ac:dyDescent="0.3">
      <c r="A79" s="1141"/>
      <c r="B79" s="2439"/>
      <c r="C79" s="1146" t="str">
        <f t="shared" si="16"/>
        <v>Znečištění ovzduší</v>
      </c>
      <c r="D79" s="1153">
        <f t="shared" si="15"/>
        <v>0</v>
      </c>
      <c r="E79" s="2216"/>
      <c r="F79" s="1142"/>
      <c r="G79" s="1142"/>
      <c r="H79" s="1142"/>
      <c r="I79" s="1142"/>
      <c r="J79" s="1142"/>
      <c r="K79" s="1142"/>
      <c r="L79" s="1142"/>
      <c r="M79" s="1142"/>
      <c r="N79" s="1142"/>
      <c r="O79" s="1142"/>
      <c r="P79" s="1142"/>
      <c r="Q79" s="1142"/>
      <c r="R79" s="1142"/>
      <c r="S79" s="2217"/>
      <c r="T79" s="2039"/>
      <c r="U79" s="1144"/>
      <c r="V79" s="1144"/>
      <c r="W79" s="1144"/>
      <c r="X79" s="1144"/>
      <c r="Y79" s="1144"/>
      <c r="Z79" s="1144"/>
      <c r="AA79" s="1144"/>
      <c r="AB79" s="1144"/>
      <c r="AC79" s="1144"/>
    </row>
    <row r="80" spans="1:29" s="1145" customFormat="1" ht="12" customHeight="1" thickBot="1" x14ac:dyDescent="0.35">
      <c r="A80" s="1141"/>
      <c r="B80" s="2442"/>
      <c r="C80" s="1146" t="str">
        <f t="shared" si="16"/>
        <v>Klimatické změny</v>
      </c>
      <c r="D80" s="1153">
        <f t="shared" si="15"/>
        <v>0</v>
      </c>
      <c r="E80" s="2216"/>
      <c r="F80" s="1142"/>
      <c r="G80" s="1142"/>
      <c r="H80" s="1142"/>
      <c r="I80" s="1142"/>
      <c r="J80" s="1150"/>
      <c r="K80" s="1142"/>
      <c r="L80" s="1142"/>
      <c r="M80" s="1142"/>
      <c r="N80" s="1142"/>
      <c r="O80" s="1142"/>
      <c r="P80" s="1142"/>
      <c r="Q80" s="1142"/>
      <c r="R80" s="1142"/>
      <c r="S80" s="2217"/>
      <c r="T80" s="2039"/>
      <c r="U80" s="1144"/>
      <c r="V80" s="1144"/>
      <c r="W80" s="1144"/>
      <c r="X80" s="1144"/>
      <c r="Y80" s="1144"/>
      <c r="Z80" s="1144"/>
      <c r="AA80" s="1144"/>
      <c r="AB80" s="1144"/>
      <c r="AC80" s="1144"/>
    </row>
    <row r="81" spans="1:29" ht="12" customHeight="1" x14ac:dyDescent="0.3">
      <c r="A81" s="666"/>
      <c r="B81" s="2436" t="str">
        <f>B46</f>
        <v>SILNIČNÍ osobní doprava</v>
      </c>
      <c r="C81" s="604" t="str">
        <f t="shared" si="16"/>
        <v>Nehody</v>
      </c>
      <c r="D81" s="605">
        <f t="shared" si="15"/>
        <v>4462268.6721136216</v>
      </c>
      <c r="E81" s="2193"/>
      <c r="F81" s="1151"/>
      <c r="G81" s="1151">
        <f>(G287*$U$287*$F$183/1000)*G524</f>
        <v>1780453.5320113809</v>
      </c>
      <c r="H81" s="1151"/>
      <c r="I81" s="1151"/>
      <c r="J81" s="1151"/>
      <c r="K81" s="1151"/>
      <c r="L81" s="1151"/>
      <c r="M81" s="1151"/>
      <c r="N81" s="1151"/>
      <c r="O81" s="1151"/>
      <c r="P81" s="1151"/>
      <c r="Q81" s="1151"/>
      <c r="R81" s="1151"/>
      <c r="S81" s="2194"/>
      <c r="T81" s="1981"/>
      <c r="U81" s="590"/>
      <c r="V81" s="590"/>
      <c r="W81" s="590"/>
      <c r="X81" s="590"/>
      <c r="Y81" s="590"/>
      <c r="Z81" s="590"/>
      <c r="AA81" s="590"/>
      <c r="AB81" s="590"/>
      <c r="AC81" s="590"/>
    </row>
    <row r="82" spans="1:29" ht="12" customHeight="1" x14ac:dyDescent="0.3">
      <c r="A82" s="666"/>
      <c r="B82" s="2437"/>
      <c r="C82" s="607" t="str">
        <f t="shared" si="16"/>
        <v>Hluk</v>
      </c>
      <c r="D82" s="608">
        <f t="shared" si="15"/>
        <v>574686.11686311802</v>
      </c>
      <c r="E82" s="2195"/>
      <c r="F82" s="691"/>
      <c r="G82" s="691">
        <f>(G287*$U$287*$F$208/1000)*G524</f>
        <v>229300.83366813243</v>
      </c>
      <c r="H82" s="691"/>
      <c r="I82" s="691"/>
      <c r="J82" s="691"/>
      <c r="K82" s="691"/>
      <c r="L82" s="691"/>
      <c r="M82" s="691"/>
      <c r="N82" s="691"/>
      <c r="O82" s="691"/>
      <c r="P82" s="691"/>
      <c r="Q82" s="691"/>
      <c r="R82" s="691"/>
      <c r="S82" s="2196"/>
      <c r="T82" s="1981"/>
      <c r="U82" s="590"/>
      <c r="V82" s="590"/>
      <c r="W82" s="590"/>
      <c r="X82" s="590"/>
      <c r="Y82" s="590"/>
      <c r="Z82" s="590"/>
      <c r="AA82" s="590"/>
      <c r="AB82" s="590"/>
      <c r="AC82" s="590"/>
    </row>
    <row r="83" spans="1:29" ht="12" customHeight="1" x14ac:dyDescent="0.3">
      <c r="A83" s="666"/>
      <c r="B83" s="2437"/>
      <c r="C83" s="607" t="str">
        <f t="shared" si="16"/>
        <v>Znečištění ovzduší</v>
      </c>
      <c r="D83" s="608">
        <f t="shared" si="15"/>
        <v>31738.852426626734</v>
      </c>
      <c r="E83" s="2195"/>
      <c r="F83" s="691"/>
      <c r="G83" s="691">
        <f>(G286/$U$286*($E$224*$F$234+$F$224*$G$234+$H$225*$H$234+$I$225*$I$234)+G287/$U$287*($E$224*$F$235+$F$224*$G$235+$H$225*$H$235+$I$225*$I$235))*G524/1000^2</f>
        <v>12663.861380226786</v>
      </c>
      <c r="H83" s="691"/>
      <c r="I83" s="691"/>
      <c r="J83" s="691"/>
      <c r="K83" s="691"/>
      <c r="L83" s="691"/>
      <c r="M83" s="691"/>
      <c r="N83" s="691"/>
      <c r="O83" s="691"/>
      <c r="P83" s="691"/>
      <c r="Q83" s="691"/>
      <c r="R83" s="691"/>
      <c r="S83" s="2196"/>
      <c r="T83" s="1981"/>
      <c r="U83" s="590"/>
      <c r="V83" s="590"/>
      <c r="W83" s="590"/>
      <c r="X83" s="590"/>
      <c r="Y83" s="590"/>
      <c r="Z83" s="590"/>
      <c r="AA83" s="590"/>
      <c r="AB83" s="590"/>
      <c r="AC83" s="590"/>
    </row>
    <row r="84" spans="1:29" ht="12" customHeight="1" x14ac:dyDescent="0.3">
      <c r="A84" s="666"/>
      <c r="B84" s="2437"/>
      <c r="C84" s="613" t="str">
        <f t="shared" si="16"/>
        <v>Klimatické změny</v>
      </c>
      <c r="D84" s="1238">
        <f t="shared" si="15"/>
        <v>13908.176119094132</v>
      </c>
      <c r="E84" s="2199"/>
      <c r="F84" s="1241"/>
      <c r="G84" s="1241">
        <f>(G286/$U$286*($D$224*$E$234)+G287/$U$287*($D$224*$E$235))*G524/1000^2</f>
        <v>5549.3882405220975</v>
      </c>
      <c r="H84" s="1241"/>
      <c r="I84" s="1241"/>
      <c r="J84" s="1241"/>
      <c r="K84" s="1241"/>
      <c r="L84" s="1241"/>
      <c r="M84" s="1241"/>
      <c r="N84" s="1241"/>
      <c r="O84" s="1241"/>
      <c r="P84" s="1241"/>
      <c r="Q84" s="1241"/>
      <c r="R84" s="1241"/>
      <c r="S84" s="2200"/>
      <c r="T84" s="1981"/>
      <c r="U84" s="590"/>
      <c r="V84" s="590"/>
      <c r="W84" s="590"/>
      <c r="X84" s="590"/>
      <c r="Y84" s="590"/>
      <c r="Z84" s="590"/>
      <c r="AA84" s="590"/>
      <c r="AB84" s="590"/>
      <c r="AC84" s="590"/>
    </row>
    <row r="85" spans="1:29" s="1145" customFormat="1" ht="12" customHeight="1" x14ac:dyDescent="0.3">
      <c r="A85" s="1141"/>
      <c r="B85" s="2438" t="str">
        <f>B50</f>
        <v>SILNIČNÍ nákladní doprava</v>
      </c>
      <c r="C85" s="1146" t="str">
        <f t="shared" si="16"/>
        <v>Nehody</v>
      </c>
      <c r="D85" s="1153">
        <f t="shared" si="15"/>
        <v>120618126.65082788</v>
      </c>
      <c r="E85" s="2227"/>
      <c r="F85" s="2034"/>
      <c r="G85" s="2034"/>
      <c r="H85" s="2034"/>
      <c r="I85" s="2034"/>
      <c r="J85" s="2034">
        <f>(J289*$U$289*$F$187/1000)*J524*$J$247</f>
        <v>3935992.021712366</v>
      </c>
      <c r="K85" s="2034">
        <f t="shared" ref="K85:S85" si="17">(K289*$U$289*$F$187/1000)*K524*$J$247</f>
        <v>4001014.6099110548</v>
      </c>
      <c r="L85" s="2034">
        <f t="shared" si="17"/>
        <v>4067111.3712667851</v>
      </c>
      <c r="M85" s="2034">
        <f t="shared" si="17"/>
        <v>4134300.0511201127</v>
      </c>
      <c r="N85" s="2034">
        <f t="shared" si="17"/>
        <v>4202598.6879646182</v>
      </c>
      <c r="O85" s="2034">
        <f t="shared" si="17"/>
        <v>4272025.6182897938</v>
      </c>
      <c r="P85" s="2034">
        <f t="shared" si="17"/>
        <v>4342599.4815039421</v>
      </c>
      <c r="Q85" s="2034">
        <f t="shared" si="17"/>
        <v>4414339.2249383871</v>
      </c>
      <c r="R85" s="2034">
        <f t="shared" si="17"/>
        <v>4487264.1089343689</v>
      </c>
      <c r="S85" s="2228">
        <f t="shared" si="17"/>
        <v>4561393.7120139655</v>
      </c>
      <c r="T85" s="2039"/>
      <c r="U85" s="1144"/>
      <c r="V85" s="1144"/>
      <c r="W85" s="1144"/>
      <c r="X85" s="1144"/>
      <c r="Y85" s="1144"/>
      <c r="Z85" s="1144"/>
      <c r="AA85" s="1144"/>
      <c r="AB85" s="1144"/>
      <c r="AC85" s="1144"/>
    </row>
    <row r="86" spans="1:29" s="1145" customFormat="1" ht="12" customHeight="1" x14ac:dyDescent="0.3">
      <c r="A86" s="1141"/>
      <c r="B86" s="2439"/>
      <c r="C86" s="1146" t="str">
        <f t="shared" si="16"/>
        <v>Hluk</v>
      </c>
      <c r="D86" s="1153">
        <f t="shared" si="15"/>
        <v>21328815.078500047</v>
      </c>
      <c r="E86" s="2216"/>
      <c r="F86" s="1142"/>
      <c r="G86" s="1142"/>
      <c r="H86" s="1142"/>
      <c r="I86" s="1142"/>
      <c r="J86" s="1142">
        <f>(J289*$U$289*$F$211/1000)*J524*$J$247</f>
        <v>695998.58920523548</v>
      </c>
      <c r="K86" s="1142">
        <f t="shared" ref="K86:S86" si="18">(K289*$U$289*$F$211/1000)*K524*$J$247</f>
        <v>707496.48589890602</v>
      </c>
      <c r="L86" s="1142">
        <f t="shared" si="18"/>
        <v>719184.32784595597</v>
      </c>
      <c r="M86" s="1142">
        <f t="shared" si="18"/>
        <v>731065.25294197118</v>
      </c>
      <c r="N86" s="1142">
        <f t="shared" si="18"/>
        <v>743142.45092057274</v>
      </c>
      <c r="O86" s="1142">
        <f t="shared" si="18"/>
        <v>755419.16420978063</v>
      </c>
      <c r="P86" s="1142">
        <f t="shared" si="18"/>
        <v>767898.68880252622</v>
      </c>
      <c r="Q86" s="1142">
        <f t="shared" si="18"/>
        <v>780584.37514154415</v>
      </c>
      <c r="R86" s="1142">
        <f t="shared" si="18"/>
        <v>793479.62901888252</v>
      </c>
      <c r="S86" s="2217">
        <f t="shared" si="18"/>
        <v>806587.91249027452</v>
      </c>
      <c r="T86" s="2039"/>
      <c r="U86" s="1144"/>
      <c r="V86" s="1144"/>
      <c r="W86" s="1144"/>
      <c r="X86" s="1144"/>
      <c r="Y86" s="1144"/>
      <c r="Z86" s="1144"/>
      <c r="AA86" s="1144"/>
      <c r="AB86" s="1144"/>
      <c r="AC86" s="1144"/>
    </row>
    <row r="87" spans="1:29" s="1145" customFormat="1" ht="12" customHeight="1" x14ac:dyDescent="0.3">
      <c r="A87" s="1141"/>
      <c r="B87" s="2439"/>
      <c r="C87" s="1146" t="str">
        <f t="shared" si="16"/>
        <v>Znečištění ovzduší</v>
      </c>
      <c r="D87" s="1153">
        <f t="shared" si="15"/>
        <v>5308229.4860616345</v>
      </c>
      <c r="E87" s="2216"/>
      <c r="F87" s="1142"/>
      <c r="G87" s="1142"/>
      <c r="H87" s="1142"/>
      <c r="I87" s="1142"/>
      <c r="J87" s="1142">
        <f>J289/$U$289*($E$224*$F$241+$F$224*$G$241+$H$225*$H$241+$I$225*$I$241)*J524/1000^2*$J$247</f>
        <v>173217.3221943629</v>
      </c>
      <c r="K87" s="1142">
        <f t="shared" ref="K87:S87" si="19">K289/$U$289*($E$224*$F$241+$F$224*$G$241+$H$225*$H$241+$I$225*$I$241)*K524/1000^2*$J$247</f>
        <v>176078.87235701378</v>
      </c>
      <c r="L87" s="1142">
        <f t="shared" si="19"/>
        <v>178987.69532835166</v>
      </c>
      <c r="M87" s="1142">
        <f t="shared" si="19"/>
        <v>181944.57205517605</v>
      </c>
      <c r="N87" s="1142">
        <f t="shared" si="19"/>
        <v>184950.29638552756</v>
      </c>
      <c r="O87" s="1142">
        <f t="shared" si="19"/>
        <v>188005.67528181651</v>
      </c>
      <c r="P87" s="1142">
        <f t="shared" si="19"/>
        <v>191111.52903747215</v>
      </c>
      <c r="Q87" s="1142">
        <f t="shared" si="19"/>
        <v>194268.69149717121</v>
      </c>
      <c r="R87" s="1142">
        <f t="shared" si="19"/>
        <v>197478.01028070448</v>
      </c>
      <c r="S87" s="2217">
        <f t="shared" si="19"/>
        <v>200740.34701054174</v>
      </c>
      <c r="T87" s="2039"/>
      <c r="U87" s="1144"/>
      <c r="V87" s="1144"/>
      <c r="W87" s="1144"/>
      <c r="X87" s="1144"/>
      <c r="Y87" s="1144"/>
      <c r="Z87" s="1144"/>
      <c r="AA87" s="1144"/>
      <c r="AB87" s="1144"/>
      <c r="AC87" s="1144"/>
    </row>
    <row r="88" spans="1:29" s="1145" customFormat="1" ht="12" customHeight="1" thickBot="1" x14ac:dyDescent="0.35">
      <c r="A88" s="1141"/>
      <c r="B88" s="2440"/>
      <c r="C88" s="1155" t="str">
        <f t="shared" si="16"/>
        <v>Klimatické změny</v>
      </c>
      <c r="D88" s="1154">
        <f t="shared" si="15"/>
        <v>2502219.3787351968</v>
      </c>
      <c r="E88" s="2218"/>
      <c r="F88" s="1150"/>
      <c r="G88" s="1150"/>
      <c r="H88" s="1150"/>
      <c r="I88" s="1150"/>
      <c r="J88" s="1150">
        <f>(+J289/$U$289*($D$224*$E$241))*J524/1000^2*$J$247</f>
        <v>81652.03510237248</v>
      </c>
      <c r="K88" s="1150">
        <f t="shared" ref="K88:S88" si="20">(+K289/$U$289*($D$224*$E$241))*K524/1000^2*$J$247</f>
        <v>83000.926722263684</v>
      </c>
      <c r="L88" s="1150">
        <f t="shared" si="20"/>
        <v>84372.102031715476</v>
      </c>
      <c r="M88" s="1150">
        <f t="shared" si="20"/>
        <v>85765.929157279432</v>
      </c>
      <c r="N88" s="1150">
        <f t="shared" si="20"/>
        <v>87182.782306957699</v>
      </c>
      <c r="O88" s="1150">
        <f t="shared" si="20"/>
        <v>88623.041870668647</v>
      </c>
      <c r="P88" s="1150">
        <f t="shared" si="20"/>
        <v>90087.094522372092</v>
      </c>
      <c r="Q88" s="1150">
        <f t="shared" si="20"/>
        <v>91575.333323881685</v>
      </c>
      <c r="R88" s="1150">
        <f t="shared" si="20"/>
        <v>93088.157830392229</v>
      </c>
      <c r="S88" s="2219">
        <f t="shared" si="20"/>
        <v>94625.974197750314</v>
      </c>
      <c r="T88" s="2039"/>
      <c r="U88" s="1144"/>
      <c r="V88" s="1144"/>
      <c r="W88" s="1144"/>
      <c r="X88" s="1144"/>
      <c r="Y88" s="1144"/>
      <c r="Z88" s="1144"/>
      <c r="AA88" s="1144"/>
      <c r="AB88" s="1144"/>
      <c r="AC88" s="1144"/>
    </row>
    <row r="89" spans="1:29" ht="12" customHeight="1" x14ac:dyDescent="0.3">
      <c r="A89" s="666"/>
      <c r="B89" s="2436" t="str">
        <f>B54</f>
        <v>VODNÍ os. doprava</v>
      </c>
      <c r="C89" s="604" t="str">
        <f t="shared" si="16"/>
        <v>Nehody</v>
      </c>
      <c r="D89" s="605">
        <f t="shared" si="15"/>
        <v>0</v>
      </c>
      <c r="E89" s="2195"/>
      <c r="F89" s="691"/>
      <c r="G89" s="691"/>
      <c r="H89" s="691"/>
      <c r="I89" s="691"/>
      <c r="J89" s="691"/>
      <c r="K89" s="691"/>
      <c r="L89" s="691"/>
      <c r="M89" s="691"/>
      <c r="N89" s="691"/>
      <c r="O89" s="691"/>
      <c r="P89" s="691"/>
      <c r="Q89" s="691"/>
      <c r="R89" s="691"/>
      <c r="S89" s="2196"/>
      <c r="T89" s="1981"/>
      <c r="U89" s="590"/>
      <c r="V89" s="590"/>
      <c r="W89" s="590"/>
      <c r="X89" s="590"/>
      <c r="Y89" s="590"/>
      <c r="Z89" s="590"/>
      <c r="AA89" s="590"/>
      <c r="AB89" s="590"/>
      <c r="AC89" s="590"/>
    </row>
    <row r="90" spans="1:29" ht="12" customHeight="1" x14ac:dyDescent="0.3">
      <c r="A90" s="666"/>
      <c r="B90" s="2446"/>
      <c r="C90" s="1239" t="str">
        <f t="shared" si="16"/>
        <v>Hluk</v>
      </c>
      <c r="D90" s="1238">
        <f t="shared" si="15"/>
        <v>0</v>
      </c>
      <c r="E90" s="2195"/>
      <c r="F90" s="691"/>
      <c r="G90" s="691"/>
      <c r="H90" s="691"/>
      <c r="I90" s="691"/>
      <c r="J90" s="691"/>
      <c r="K90" s="691"/>
      <c r="L90" s="691"/>
      <c r="M90" s="691"/>
      <c r="N90" s="691"/>
      <c r="O90" s="691"/>
      <c r="P90" s="691"/>
      <c r="Q90" s="691"/>
      <c r="R90" s="691"/>
      <c r="S90" s="2196"/>
      <c r="T90" s="1981"/>
      <c r="U90" s="590"/>
      <c r="V90" s="590"/>
      <c r="W90" s="590"/>
      <c r="X90" s="590"/>
      <c r="Y90" s="590"/>
      <c r="Z90" s="590"/>
      <c r="AA90" s="590"/>
      <c r="AB90" s="590"/>
      <c r="AC90" s="590"/>
    </row>
    <row r="91" spans="1:29" s="1145" customFormat="1" ht="12" customHeight="1" x14ac:dyDescent="0.3">
      <c r="A91" s="1141"/>
      <c r="B91" s="2445" t="str">
        <f>B56</f>
        <v>VODNÍ nákladní doprava</v>
      </c>
      <c r="C91" s="1146" t="str">
        <f t="shared" si="16"/>
        <v>Nehody</v>
      </c>
      <c r="D91" s="1153">
        <f t="shared" si="15"/>
        <v>0</v>
      </c>
      <c r="E91" s="2227"/>
      <c r="F91" s="2034"/>
      <c r="G91" s="2034"/>
      <c r="H91" s="2034"/>
      <c r="I91" s="2034"/>
      <c r="J91" s="2034"/>
      <c r="K91" s="2034"/>
      <c r="L91" s="2034"/>
      <c r="M91" s="2034"/>
      <c r="N91" s="2034"/>
      <c r="O91" s="2034"/>
      <c r="P91" s="2034"/>
      <c r="Q91" s="2034"/>
      <c r="R91" s="2034"/>
      <c r="S91" s="2228"/>
      <c r="T91" s="2039"/>
      <c r="U91" s="1144"/>
      <c r="V91" s="1144"/>
      <c r="W91" s="1144"/>
      <c r="X91" s="1144"/>
      <c r="Y91" s="1144"/>
      <c r="Z91" s="1144"/>
      <c r="AA91" s="1144"/>
      <c r="AB91" s="1144"/>
      <c r="AC91" s="1144"/>
    </row>
    <row r="92" spans="1:29" s="1145" customFormat="1" ht="12" customHeight="1" x14ac:dyDescent="0.3">
      <c r="A92" s="1141"/>
      <c r="B92" s="2439"/>
      <c r="C92" s="1146" t="str">
        <f t="shared" si="16"/>
        <v>Hluk</v>
      </c>
      <c r="D92" s="1153">
        <f t="shared" si="15"/>
        <v>0</v>
      </c>
      <c r="E92" s="2216"/>
      <c r="F92" s="1142"/>
      <c r="G92" s="1142"/>
      <c r="H92" s="1142"/>
      <c r="I92" s="1142"/>
      <c r="J92" s="1142"/>
      <c r="K92" s="1142"/>
      <c r="L92" s="1142"/>
      <c r="M92" s="1142"/>
      <c r="N92" s="1142"/>
      <c r="O92" s="1142"/>
      <c r="P92" s="1142"/>
      <c r="Q92" s="1142"/>
      <c r="R92" s="1142"/>
      <c r="S92" s="2217"/>
      <c r="T92" s="2039"/>
      <c r="U92" s="1144"/>
      <c r="V92" s="1144"/>
      <c r="W92" s="1144"/>
      <c r="X92" s="1144"/>
      <c r="Y92" s="1144"/>
      <c r="Z92" s="1144"/>
      <c r="AA92" s="1144"/>
      <c r="AB92" s="1144"/>
      <c r="AC92" s="1144"/>
    </row>
    <row r="93" spans="1:29" s="1145" customFormat="1" ht="12" customHeight="1" x14ac:dyDescent="0.3">
      <c r="A93" s="1141"/>
      <c r="B93" s="2439"/>
      <c r="C93" s="1146" t="str">
        <f t="shared" si="16"/>
        <v>Znečištění ovzduší</v>
      </c>
      <c r="D93" s="1153">
        <f t="shared" si="15"/>
        <v>0</v>
      </c>
      <c r="E93" s="2216"/>
      <c r="F93" s="1142"/>
      <c r="G93" s="1142"/>
      <c r="H93" s="1142"/>
      <c r="I93" s="1142"/>
      <c r="J93" s="1142"/>
      <c r="K93" s="1142"/>
      <c r="L93" s="1142"/>
      <c r="M93" s="1142"/>
      <c r="N93" s="1142"/>
      <c r="O93" s="1142"/>
      <c r="P93" s="1142"/>
      <c r="Q93" s="1142"/>
      <c r="R93" s="1142"/>
      <c r="S93" s="2217"/>
      <c r="T93" s="2039"/>
      <c r="U93" s="1144"/>
      <c r="V93" s="1144"/>
      <c r="W93" s="1144"/>
      <c r="X93" s="1144"/>
      <c r="Y93" s="1144"/>
      <c r="Z93" s="1144"/>
      <c r="AA93" s="1144"/>
      <c r="AB93" s="1144"/>
      <c r="AC93" s="1144"/>
    </row>
    <row r="94" spans="1:29" s="1145" customFormat="1" ht="12" customHeight="1" thickBot="1" x14ac:dyDescent="0.35">
      <c r="A94" s="1141"/>
      <c r="B94" s="2442"/>
      <c r="C94" s="1146" t="str">
        <f t="shared" si="16"/>
        <v>Klimatické změny</v>
      </c>
      <c r="D94" s="1153">
        <f t="shared" si="15"/>
        <v>0</v>
      </c>
      <c r="E94" s="2216"/>
      <c r="F94" s="1142"/>
      <c r="G94" s="1142"/>
      <c r="H94" s="1142"/>
      <c r="I94" s="1142"/>
      <c r="J94" s="1142"/>
      <c r="K94" s="1142"/>
      <c r="L94" s="1142"/>
      <c r="M94" s="1142"/>
      <c r="N94" s="1142"/>
      <c r="O94" s="1142"/>
      <c r="P94" s="1142"/>
      <c r="Q94" s="1142"/>
      <c r="R94" s="1142"/>
      <c r="S94" s="2217"/>
      <c r="T94" s="2039"/>
      <c r="U94" s="1144"/>
      <c r="V94" s="1144"/>
      <c r="W94" s="1144"/>
      <c r="X94" s="1144"/>
      <c r="Y94" s="1144"/>
      <c r="Z94" s="1144"/>
      <c r="AA94" s="1144"/>
      <c r="AB94" s="1144"/>
      <c r="AC94" s="1144"/>
    </row>
    <row r="95" spans="1:29" ht="12" customHeight="1" x14ac:dyDescent="0.3">
      <c r="A95" s="666"/>
      <c r="B95" s="2436" t="str">
        <f>B60</f>
        <v>OSTATNÍ osobní doprava</v>
      </c>
      <c r="C95" s="604" t="str">
        <f t="shared" si="16"/>
        <v>Nehody</v>
      </c>
      <c r="D95" s="605">
        <f t="shared" si="15"/>
        <v>0</v>
      </c>
      <c r="E95" s="2193"/>
      <c r="F95" s="1151"/>
      <c r="G95" s="1151"/>
      <c r="H95" s="1151"/>
      <c r="I95" s="1151"/>
      <c r="J95" s="1151"/>
      <c r="K95" s="1151"/>
      <c r="L95" s="1151"/>
      <c r="M95" s="1151"/>
      <c r="N95" s="1151"/>
      <c r="O95" s="1151"/>
      <c r="P95" s="1151"/>
      <c r="Q95" s="1151"/>
      <c r="R95" s="1151"/>
      <c r="S95" s="2194"/>
      <c r="T95" s="1981"/>
      <c r="U95" s="590"/>
      <c r="V95" s="590"/>
      <c r="W95" s="590"/>
      <c r="X95" s="590"/>
      <c r="Y95" s="590"/>
      <c r="Z95" s="590"/>
      <c r="AA95" s="590"/>
      <c r="AB95" s="590"/>
      <c r="AC95" s="590"/>
    </row>
    <row r="96" spans="1:29" ht="14.25" x14ac:dyDescent="0.3">
      <c r="A96" s="666"/>
      <c r="B96" s="2437"/>
      <c r="C96" s="607" t="str">
        <f t="shared" si="16"/>
        <v>Hluk</v>
      </c>
      <c r="D96" s="608">
        <f t="shared" si="15"/>
        <v>0</v>
      </c>
      <c r="E96" s="2195"/>
      <c r="F96" s="691"/>
      <c r="G96" s="691"/>
      <c r="H96" s="691"/>
      <c r="I96" s="691"/>
      <c r="J96" s="691"/>
      <c r="K96" s="691"/>
      <c r="L96" s="691"/>
      <c r="M96" s="691"/>
      <c r="N96" s="691"/>
      <c r="O96" s="691"/>
      <c r="P96" s="691"/>
      <c r="Q96" s="691"/>
      <c r="R96" s="691"/>
      <c r="S96" s="2196"/>
      <c r="T96" s="1981"/>
      <c r="U96" s="590"/>
      <c r="V96" s="590"/>
      <c r="W96" s="590"/>
      <c r="X96" s="590"/>
      <c r="Y96" s="590"/>
      <c r="Z96" s="590"/>
      <c r="AA96" s="590"/>
      <c r="AB96" s="590"/>
      <c r="AC96" s="590"/>
    </row>
    <row r="97" spans="1:29" ht="14.25" x14ac:dyDescent="0.3">
      <c r="A97" s="666"/>
      <c r="B97" s="2437"/>
      <c r="C97" s="607" t="str">
        <f t="shared" si="16"/>
        <v>Znečištění ovzduší</v>
      </c>
      <c r="D97" s="608">
        <f t="shared" si="15"/>
        <v>0</v>
      </c>
      <c r="E97" s="2195"/>
      <c r="F97" s="691"/>
      <c r="G97" s="691"/>
      <c r="H97" s="691"/>
      <c r="I97" s="691"/>
      <c r="J97" s="691"/>
      <c r="K97" s="691"/>
      <c r="L97" s="691"/>
      <c r="M97" s="691"/>
      <c r="N97" s="691"/>
      <c r="O97" s="691"/>
      <c r="P97" s="691"/>
      <c r="Q97" s="691"/>
      <c r="R97" s="691"/>
      <c r="S97" s="2196"/>
      <c r="T97" s="1981"/>
      <c r="U97" s="590"/>
      <c r="V97" s="590"/>
      <c r="W97" s="590"/>
      <c r="X97" s="590"/>
      <c r="Y97" s="590"/>
      <c r="Z97" s="590"/>
      <c r="AA97" s="590"/>
      <c r="AB97" s="590"/>
      <c r="AC97" s="590"/>
    </row>
    <row r="98" spans="1:29" ht="14.25" x14ac:dyDescent="0.3">
      <c r="A98" s="666"/>
      <c r="B98" s="2437"/>
      <c r="C98" s="613" t="str">
        <f t="shared" si="16"/>
        <v>Klimatické změny</v>
      </c>
      <c r="D98" s="1238">
        <f t="shared" si="15"/>
        <v>0</v>
      </c>
      <c r="E98" s="2199"/>
      <c r="F98" s="1241"/>
      <c r="G98" s="1241"/>
      <c r="H98" s="1241"/>
      <c r="I98" s="1241"/>
      <c r="J98" s="1241"/>
      <c r="K98" s="1241"/>
      <c r="L98" s="1241"/>
      <c r="M98" s="1241"/>
      <c r="N98" s="1241"/>
      <c r="O98" s="1241"/>
      <c r="P98" s="1241"/>
      <c r="Q98" s="1241"/>
      <c r="R98" s="1241"/>
      <c r="S98" s="2200"/>
      <c r="T98" s="1981"/>
      <c r="U98" s="590"/>
      <c r="V98" s="590"/>
      <c r="W98" s="590"/>
      <c r="X98" s="590"/>
      <c r="Y98" s="590"/>
      <c r="Z98" s="590"/>
      <c r="AA98" s="590"/>
      <c r="AB98" s="590"/>
      <c r="AC98" s="590"/>
    </row>
    <row r="99" spans="1:29" s="1145" customFormat="1" ht="12" customHeight="1" x14ac:dyDescent="0.3">
      <c r="A99" s="1141"/>
      <c r="B99" s="2438" t="str">
        <f>B64</f>
        <v>OSTATNÍ nákladní doprava</v>
      </c>
      <c r="C99" s="1146" t="str">
        <f t="shared" si="16"/>
        <v>Nehody</v>
      </c>
      <c r="D99" s="1153">
        <f t="shared" si="15"/>
        <v>0</v>
      </c>
      <c r="E99" s="2216"/>
      <c r="F99" s="1142"/>
      <c r="G99" s="1142"/>
      <c r="H99" s="1142"/>
      <c r="I99" s="1142"/>
      <c r="J99" s="1142"/>
      <c r="K99" s="1142"/>
      <c r="L99" s="1142"/>
      <c r="M99" s="1142"/>
      <c r="N99" s="1142"/>
      <c r="O99" s="1142"/>
      <c r="P99" s="1142"/>
      <c r="Q99" s="1142"/>
      <c r="R99" s="1142"/>
      <c r="S99" s="2217"/>
      <c r="T99" s="2038"/>
      <c r="U99" s="1143"/>
      <c r="V99" s="1143"/>
      <c r="W99" s="1143"/>
      <c r="X99" s="1143"/>
      <c r="Y99" s="1143"/>
      <c r="Z99" s="1143"/>
      <c r="AA99" s="1143"/>
      <c r="AB99" s="1143"/>
      <c r="AC99" s="1144"/>
    </row>
    <row r="100" spans="1:29" s="1145" customFormat="1" ht="12.75" customHeight="1" x14ac:dyDescent="0.3">
      <c r="A100" s="1141"/>
      <c r="B100" s="2439"/>
      <c r="C100" s="1146" t="str">
        <f t="shared" si="16"/>
        <v>Hluk</v>
      </c>
      <c r="D100" s="1153">
        <f t="shared" si="15"/>
        <v>0</v>
      </c>
      <c r="E100" s="2216"/>
      <c r="F100" s="1142"/>
      <c r="G100" s="1142"/>
      <c r="H100" s="1142"/>
      <c r="I100" s="1142"/>
      <c r="J100" s="1142"/>
      <c r="K100" s="1142"/>
      <c r="L100" s="1142"/>
      <c r="M100" s="1142"/>
      <c r="N100" s="1142"/>
      <c r="O100" s="1142"/>
      <c r="P100" s="1142"/>
      <c r="Q100" s="1142"/>
      <c r="R100" s="1142"/>
      <c r="S100" s="2217"/>
      <c r="T100" s="2038"/>
      <c r="U100" s="1143"/>
      <c r="V100" s="1143"/>
      <c r="W100" s="1143"/>
      <c r="X100" s="1143"/>
      <c r="Y100" s="1143"/>
      <c r="Z100" s="1143"/>
      <c r="AA100" s="1143"/>
      <c r="AB100" s="1143"/>
      <c r="AC100" s="1143"/>
    </row>
    <row r="101" spans="1:29" s="1145" customFormat="1" ht="12.75" customHeight="1" x14ac:dyDescent="0.3">
      <c r="A101" s="1141"/>
      <c r="B101" s="2439"/>
      <c r="C101" s="1146" t="str">
        <f t="shared" si="16"/>
        <v>Znečištění ovzduší</v>
      </c>
      <c r="D101" s="1153">
        <f t="shared" si="15"/>
        <v>0</v>
      </c>
      <c r="E101" s="2216"/>
      <c r="F101" s="1142"/>
      <c r="G101" s="1142"/>
      <c r="H101" s="1142"/>
      <c r="I101" s="1142"/>
      <c r="J101" s="1142"/>
      <c r="K101" s="1142"/>
      <c r="L101" s="1142"/>
      <c r="M101" s="1142"/>
      <c r="N101" s="1142"/>
      <c r="O101" s="1142"/>
      <c r="P101" s="1142"/>
      <c r="Q101" s="1142"/>
      <c r="R101" s="1142"/>
      <c r="S101" s="2217"/>
      <c r="T101" s="2038"/>
      <c r="U101" s="1143"/>
      <c r="V101" s="1143"/>
      <c r="W101" s="1143"/>
      <c r="X101" s="1143"/>
      <c r="Y101" s="1143"/>
      <c r="Z101" s="1143"/>
      <c r="AA101" s="1143"/>
      <c r="AB101" s="1143"/>
      <c r="AC101" s="1143"/>
    </row>
    <row r="102" spans="1:29" s="1145" customFormat="1" ht="12.75" customHeight="1" x14ac:dyDescent="0.3">
      <c r="A102" s="1141"/>
      <c r="B102" s="2439"/>
      <c r="C102" s="1147" t="str">
        <f t="shared" si="16"/>
        <v>Klimatické změny</v>
      </c>
      <c r="D102" s="2036">
        <f t="shared" si="15"/>
        <v>0</v>
      </c>
      <c r="E102" s="2229"/>
      <c r="F102" s="2230"/>
      <c r="G102" s="2230"/>
      <c r="H102" s="2230"/>
      <c r="I102" s="2230"/>
      <c r="J102" s="2230"/>
      <c r="K102" s="2230"/>
      <c r="L102" s="2230"/>
      <c r="M102" s="2230"/>
      <c r="N102" s="2230"/>
      <c r="O102" s="2230"/>
      <c r="P102" s="2230"/>
      <c r="Q102" s="2230"/>
      <c r="R102" s="2230"/>
      <c r="S102" s="2231"/>
      <c r="T102" s="2038"/>
      <c r="U102" s="1143"/>
      <c r="V102" s="1143"/>
      <c r="W102" s="1143"/>
      <c r="X102" s="1143"/>
      <c r="Y102" s="1143"/>
      <c r="Z102" s="1143"/>
      <c r="AA102" s="1143"/>
      <c r="AB102" s="1143"/>
      <c r="AC102" s="1143"/>
    </row>
    <row r="103" spans="1:29" ht="12.75" customHeight="1" thickBot="1" x14ac:dyDescent="0.35">
      <c r="A103" s="666"/>
      <c r="B103" s="642"/>
      <c r="C103" s="853" t="str">
        <f t="shared" si="16"/>
        <v>Celkové externí náklady</v>
      </c>
      <c r="D103" s="854">
        <f t="shared" si="15"/>
        <v>154420630.14357501</v>
      </c>
      <c r="E103" s="2043">
        <f t="shared" ref="E103:S103" si="21">SUM(E73:E102)</f>
        <v>0</v>
      </c>
      <c r="F103" s="2044">
        <f t="shared" si="21"/>
        <v>0</v>
      </c>
      <c r="G103" s="2044">
        <f t="shared" si="21"/>
        <v>1860641.2873165603</v>
      </c>
      <c r="H103" s="2044">
        <f t="shared" si="21"/>
        <v>0</v>
      </c>
      <c r="I103" s="2044">
        <f t="shared" si="21"/>
        <v>0</v>
      </c>
      <c r="J103" s="2044">
        <f t="shared" si="21"/>
        <v>4886859.9682143368</v>
      </c>
      <c r="K103" s="2044">
        <f t="shared" si="21"/>
        <v>4967590.8948892383</v>
      </c>
      <c r="L103" s="2044">
        <f t="shared" si="21"/>
        <v>5049655.4964728085</v>
      </c>
      <c r="M103" s="2044">
        <f t="shared" si="21"/>
        <v>5133075.8052745387</v>
      </c>
      <c r="N103" s="2044">
        <f t="shared" si="21"/>
        <v>5217874.2175776763</v>
      </c>
      <c r="O103" s="2044">
        <f t="shared" si="21"/>
        <v>5304073.4996520588</v>
      </c>
      <c r="P103" s="2044">
        <f t="shared" si="21"/>
        <v>5391696.7938663121</v>
      </c>
      <c r="Q103" s="2044">
        <f t="shared" si="21"/>
        <v>5480767.6249009846</v>
      </c>
      <c r="R103" s="2044">
        <f t="shared" si="21"/>
        <v>5571309.9060643474</v>
      </c>
      <c r="S103" s="2045">
        <f t="shared" si="21"/>
        <v>5663347.9457125319</v>
      </c>
      <c r="T103" s="593"/>
      <c r="U103" s="593"/>
      <c r="V103" s="593"/>
      <c r="W103" s="593"/>
      <c r="X103" s="593"/>
      <c r="Y103" s="593"/>
      <c r="Z103" s="593"/>
      <c r="AA103" s="593"/>
      <c r="AB103" s="593"/>
      <c r="AC103" s="593"/>
    </row>
    <row r="104" spans="1:29" ht="12.75" customHeight="1" thickBot="1" x14ac:dyDescent="0.35">
      <c r="A104" s="666"/>
      <c r="B104" s="948"/>
      <c r="C104" s="666"/>
      <c r="D104" s="590"/>
      <c r="E104" s="673"/>
      <c r="F104" s="673"/>
      <c r="G104" s="673"/>
      <c r="H104" s="673"/>
      <c r="I104" s="673"/>
      <c r="J104" s="673"/>
      <c r="K104" s="673"/>
      <c r="L104" s="673"/>
      <c r="M104" s="673"/>
      <c r="N104" s="673"/>
      <c r="O104" s="673"/>
      <c r="P104" s="673"/>
      <c r="Q104" s="673"/>
      <c r="R104" s="673"/>
      <c r="S104" s="673"/>
      <c r="T104" s="590"/>
      <c r="U104" s="590"/>
      <c r="V104" s="590"/>
      <c r="W104" s="590"/>
      <c r="X104" s="590"/>
      <c r="Y104" s="590"/>
      <c r="Z104" s="590"/>
      <c r="AA104" s="590"/>
      <c r="AB104" s="590"/>
      <c r="AC104" s="590"/>
    </row>
    <row r="105" spans="1:29" ht="12.75" customHeight="1" x14ac:dyDescent="0.3">
      <c r="A105" s="666"/>
      <c r="B105" s="1160" t="s">
        <v>109</v>
      </c>
      <c r="C105" s="1161" t="str">
        <f>C71</f>
        <v>Externí náklady (CZK)</v>
      </c>
      <c r="D105" s="1166"/>
      <c r="E105" s="2449">
        <f>S71+1</f>
        <v>2036</v>
      </c>
      <c r="F105" s="2443">
        <f t="shared" ref="F105:S105" si="22">E105+1</f>
        <v>2037</v>
      </c>
      <c r="G105" s="2443">
        <f t="shared" si="22"/>
        <v>2038</v>
      </c>
      <c r="H105" s="2443">
        <f t="shared" si="22"/>
        <v>2039</v>
      </c>
      <c r="I105" s="2443">
        <f t="shared" si="22"/>
        <v>2040</v>
      </c>
      <c r="J105" s="2443">
        <f t="shared" si="22"/>
        <v>2041</v>
      </c>
      <c r="K105" s="2443">
        <f t="shared" si="22"/>
        <v>2042</v>
      </c>
      <c r="L105" s="2443">
        <f t="shared" si="22"/>
        <v>2043</v>
      </c>
      <c r="M105" s="2443">
        <f t="shared" si="22"/>
        <v>2044</v>
      </c>
      <c r="N105" s="2443">
        <f t="shared" si="22"/>
        <v>2045</v>
      </c>
      <c r="O105" s="2443">
        <f t="shared" si="22"/>
        <v>2046</v>
      </c>
      <c r="P105" s="2443">
        <f t="shared" si="22"/>
        <v>2047</v>
      </c>
      <c r="Q105" s="2443">
        <f t="shared" si="22"/>
        <v>2048</v>
      </c>
      <c r="R105" s="2443">
        <f t="shared" si="22"/>
        <v>2049</v>
      </c>
      <c r="S105" s="2447">
        <f t="shared" si="22"/>
        <v>2050</v>
      </c>
      <c r="T105" s="669"/>
      <c r="U105" s="669"/>
      <c r="V105" s="669"/>
      <c r="W105" s="669"/>
      <c r="X105" s="669"/>
      <c r="Y105" s="669"/>
      <c r="Z105" s="669"/>
      <c r="AA105" s="669"/>
      <c r="AB105" s="669"/>
      <c r="AC105" s="669"/>
    </row>
    <row r="106" spans="1:29" ht="12.75" customHeight="1" thickBot="1" x14ac:dyDescent="0.35">
      <c r="A106" s="666"/>
      <c r="B106" s="1163" t="s">
        <v>24</v>
      </c>
      <c r="C106" s="1164" t="str">
        <f t="shared" ref="C106:C137" si="23">C72</f>
        <v>Scénář bez projektu</v>
      </c>
      <c r="D106" s="1167"/>
      <c r="E106" s="2450">
        <f>S72+1</f>
        <v>1</v>
      </c>
      <c r="F106" s="2444"/>
      <c r="G106" s="2444"/>
      <c r="H106" s="2444"/>
      <c r="I106" s="2444"/>
      <c r="J106" s="2444"/>
      <c r="K106" s="2444"/>
      <c r="L106" s="2444"/>
      <c r="M106" s="2444"/>
      <c r="N106" s="2444"/>
      <c r="O106" s="2444"/>
      <c r="P106" s="2444"/>
      <c r="Q106" s="2444"/>
      <c r="R106" s="2444"/>
      <c r="S106" s="2448"/>
      <c r="T106" s="669"/>
      <c r="U106" s="669"/>
      <c r="V106" s="669"/>
      <c r="W106" s="669"/>
      <c r="X106" s="669"/>
      <c r="Y106" s="669"/>
      <c r="Z106" s="669"/>
      <c r="AA106" s="669"/>
      <c r="AB106" s="669"/>
      <c r="AC106" s="669"/>
    </row>
    <row r="107" spans="1:29" ht="12.75" customHeight="1" x14ac:dyDescent="0.3">
      <c r="A107" s="666"/>
      <c r="B107" s="2436" t="str">
        <f>B73</f>
        <v>ŽELEZNIČNÍ osobní doprava</v>
      </c>
      <c r="C107" s="607" t="str">
        <f t="shared" si="23"/>
        <v>Nehody</v>
      </c>
      <c r="D107" s="912"/>
      <c r="E107" s="2197"/>
      <c r="F107" s="2061"/>
      <c r="G107" s="2061"/>
      <c r="H107" s="2061"/>
      <c r="I107" s="2061"/>
      <c r="J107" s="692"/>
      <c r="K107" s="692"/>
      <c r="L107" s="692"/>
      <c r="M107" s="692"/>
      <c r="N107" s="692"/>
      <c r="O107" s="692"/>
      <c r="P107" s="692"/>
      <c r="Q107" s="692">
        <f>-Q298*$U$283*$F$185/1000*Q529</f>
        <v>-75749.012947667565</v>
      </c>
      <c r="R107" s="692"/>
      <c r="S107" s="2204"/>
      <c r="T107" s="1981"/>
      <c r="U107" s="590"/>
      <c r="V107" s="590"/>
      <c r="W107" s="590"/>
      <c r="X107" s="590"/>
      <c r="Y107" s="590"/>
      <c r="Z107" s="590"/>
      <c r="AA107" s="590"/>
      <c r="AB107" s="590"/>
      <c r="AC107" s="590"/>
    </row>
    <row r="108" spans="1:29" ht="12.75" customHeight="1" x14ac:dyDescent="0.3">
      <c r="A108" s="666"/>
      <c r="B108" s="2437"/>
      <c r="C108" s="607" t="str">
        <f t="shared" si="23"/>
        <v>Hluk</v>
      </c>
      <c r="D108" s="913"/>
      <c r="E108" s="2195"/>
      <c r="F108" s="691"/>
      <c r="G108" s="691"/>
      <c r="H108" s="691"/>
      <c r="I108" s="691"/>
      <c r="J108" s="693"/>
      <c r="K108" s="693"/>
      <c r="L108" s="693"/>
      <c r="M108" s="693"/>
      <c r="N108" s="693"/>
      <c r="O108" s="693"/>
      <c r="P108" s="693"/>
      <c r="Q108" s="693">
        <f>-Q298*$U$283*$F$209/1000*Q529</f>
        <v>-155484.81605047555</v>
      </c>
      <c r="R108" s="693"/>
      <c r="S108" s="2205"/>
      <c r="T108" s="1981"/>
      <c r="U108" s="590"/>
      <c r="V108" s="590"/>
      <c r="W108" s="590"/>
      <c r="X108" s="590"/>
      <c r="Y108" s="590"/>
      <c r="Z108" s="590"/>
      <c r="AA108" s="590"/>
      <c r="AB108" s="590"/>
      <c r="AC108" s="590"/>
    </row>
    <row r="109" spans="1:29" ht="12.75" customHeight="1" x14ac:dyDescent="0.3">
      <c r="A109" s="666"/>
      <c r="B109" s="2437"/>
      <c r="C109" s="607" t="str">
        <f t="shared" si="23"/>
        <v>Znečištění ovzduší</v>
      </c>
      <c r="D109" s="913"/>
      <c r="E109" s="2195"/>
      <c r="F109" s="691"/>
      <c r="G109" s="691"/>
      <c r="H109" s="691"/>
      <c r="I109" s="691"/>
      <c r="J109" s="693"/>
      <c r="K109" s="693"/>
      <c r="L109" s="693"/>
      <c r="M109" s="693"/>
      <c r="N109" s="693"/>
      <c r="O109" s="693"/>
      <c r="P109" s="693"/>
      <c r="Q109" s="693">
        <f>-(Q297*($E$224*$F$237+$F$224*$G$237+$H$225*$H$237+$I$225*$I$237)+Q298*($E$224*$F$238+$F$224*$G$238+$H$225*$H$238+$I$225*$I$238))*Q529/1000^2</f>
        <v>-13169.159437124905</v>
      </c>
      <c r="R109" s="693"/>
      <c r="S109" s="2205"/>
      <c r="T109" s="1981"/>
      <c r="U109" s="590"/>
      <c r="V109" s="590"/>
      <c r="W109" s="590"/>
      <c r="X109" s="590"/>
      <c r="Y109" s="590"/>
      <c r="Z109" s="590"/>
      <c r="AA109" s="590"/>
      <c r="AB109" s="590"/>
      <c r="AC109" s="590"/>
    </row>
    <row r="110" spans="1:29" ht="12.75" customHeight="1" x14ac:dyDescent="0.3">
      <c r="A110" s="666"/>
      <c r="B110" s="2437"/>
      <c r="C110" s="864" t="str">
        <f t="shared" si="23"/>
        <v>Klimatické změny</v>
      </c>
      <c r="D110" s="1247"/>
      <c r="E110" s="2199"/>
      <c r="F110" s="1241"/>
      <c r="G110" s="1241"/>
      <c r="H110" s="1241"/>
      <c r="I110" s="1241"/>
      <c r="J110" s="1242"/>
      <c r="K110" s="1242"/>
      <c r="L110" s="1242"/>
      <c r="M110" s="1242"/>
      <c r="N110" s="1242"/>
      <c r="O110" s="1242"/>
      <c r="P110" s="1242"/>
      <c r="Q110" s="1242">
        <f>-(Q297*$D$224*$E$237+Q298*$D$224*$E$238)*Q529/1000^2</f>
        <v>-7632.9516532467924</v>
      </c>
      <c r="R110" s="1242"/>
      <c r="S110" s="2207"/>
      <c r="T110" s="1981"/>
      <c r="U110" s="590"/>
      <c r="V110" s="590"/>
      <c r="W110" s="590"/>
      <c r="X110" s="590"/>
      <c r="Y110" s="590"/>
      <c r="Z110" s="590"/>
      <c r="AA110" s="590"/>
      <c r="AB110" s="590"/>
      <c r="AC110" s="590"/>
    </row>
    <row r="111" spans="1:29" s="1145" customFormat="1" ht="12.75" customHeight="1" x14ac:dyDescent="0.3">
      <c r="A111" s="1141"/>
      <c r="B111" s="2438" t="str">
        <f>B77</f>
        <v>ŽELEZNIČNÍ nákladní doprava</v>
      </c>
      <c r="C111" s="1146" t="str">
        <f t="shared" si="23"/>
        <v>Nehody</v>
      </c>
      <c r="D111" s="1157"/>
      <c r="E111" s="2220"/>
      <c r="F111" s="1148"/>
      <c r="G111" s="1148"/>
      <c r="H111" s="1148"/>
      <c r="I111" s="1148"/>
      <c r="J111" s="1148"/>
      <c r="K111" s="1148"/>
      <c r="L111" s="1148"/>
      <c r="M111" s="1148"/>
      <c r="N111" s="1148"/>
      <c r="O111" s="1148"/>
      <c r="P111" s="1148"/>
      <c r="Q111" s="1148"/>
      <c r="R111" s="1148"/>
      <c r="S111" s="2221"/>
      <c r="T111" s="2039"/>
      <c r="U111" s="1144"/>
      <c r="V111" s="1144"/>
      <c r="W111" s="1144"/>
      <c r="X111" s="1144"/>
      <c r="Y111" s="1144"/>
      <c r="Z111" s="1144"/>
      <c r="AA111" s="1144"/>
      <c r="AB111" s="1144"/>
      <c r="AC111" s="1144"/>
    </row>
    <row r="112" spans="1:29" s="1145" customFormat="1" ht="12.75" customHeight="1" x14ac:dyDescent="0.3">
      <c r="A112" s="1141"/>
      <c r="B112" s="2439"/>
      <c r="C112" s="1146" t="str">
        <f t="shared" si="23"/>
        <v>Hluk</v>
      </c>
      <c r="D112" s="1157"/>
      <c r="E112" s="2220"/>
      <c r="F112" s="1148"/>
      <c r="G112" s="1148"/>
      <c r="H112" s="1148"/>
      <c r="I112" s="1148"/>
      <c r="J112" s="1148"/>
      <c r="K112" s="1148"/>
      <c r="L112" s="1148"/>
      <c r="M112" s="1148"/>
      <c r="N112" s="1148"/>
      <c r="O112" s="1148"/>
      <c r="P112" s="1148"/>
      <c r="Q112" s="1148"/>
      <c r="R112" s="1148"/>
      <c r="S112" s="2221"/>
      <c r="T112" s="2039"/>
      <c r="U112" s="1144"/>
      <c r="V112" s="1144"/>
      <c r="W112" s="1144"/>
      <c r="X112" s="1144"/>
      <c r="Y112" s="1144"/>
      <c r="Z112" s="1144"/>
      <c r="AA112" s="1144"/>
      <c r="AB112" s="1144"/>
      <c r="AC112" s="1144"/>
    </row>
    <row r="113" spans="1:29" s="1145" customFormat="1" ht="12.75" customHeight="1" x14ac:dyDescent="0.3">
      <c r="A113" s="1141"/>
      <c r="B113" s="2439"/>
      <c r="C113" s="1146" t="str">
        <f t="shared" si="23"/>
        <v>Znečištění ovzduší</v>
      </c>
      <c r="D113" s="1157"/>
      <c r="E113" s="2220"/>
      <c r="F113" s="1148"/>
      <c r="G113" s="1148"/>
      <c r="H113" s="1148"/>
      <c r="I113" s="1148"/>
      <c r="J113" s="1148"/>
      <c r="K113" s="1148"/>
      <c r="L113" s="1148"/>
      <c r="M113" s="1148"/>
      <c r="N113" s="1148"/>
      <c r="O113" s="1148"/>
      <c r="P113" s="1148"/>
      <c r="Q113" s="1148"/>
      <c r="R113" s="1148"/>
      <c r="S113" s="2221"/>
      <c r="T113" s="2039"/>
      <c r="U113" s="1144"/>
      <c r="V113" s="1144"/>
      <c r="W113" s="1144"/>
      <c r="X113" s="1144"/>
      <c r="Y113" s="1144"/>
      <c r="Z113" s="1144"/>
      <c r="AA113" s="1144"/>
      <c r="AB113" s="1144"/>
      <c r="AC113" s="1144"/>
    </row>
    <row r="114" spans="1:29" s="1145" customFormat="1" ht="12.75" customHeight="1" thickBot="1" x14ac:dyDescent="0.35">
      <c r="A114" s="1141"/>
      <c r="B114" s="2442"/>
      <c r="C114" s="1146" t="str">
        <f t="shared" si="23"/>
        <v>Klimatické změny</v>
      </c>
      <c r="D114" s="1157"/>
      <c r="E114" s="2220"/>
      <c r="F114" s="1148"/>
      <c r="G114" s="1148"/>
      <c r="H114" s="1148"/>
      <c r="I114" s="1148"/>
      <c r="J114" s="1148"/>
      <c r="K114" s="1148"/>
      <c r="L114" s="1148"/>
      <c r="M114" s="1148"/>
      <c r="N114" s="1148"/>
      <c r="O114" s="1148"/>
      <c r="P114" s="1148"/>
      <c r="Q114" s="1148"/>
      <c r="R114" s="1148"/>
      <c r="S114" s="2221"/>
      <c r="T114" s="2039"/>
      <c r="U114" s="1144"/>
      <c r="V114" s="1144"/>
      <c r="W114" s="1144"/>
      <c r="X114" s="1144"/>
      <c r="Y114" s="1144"/>
      <c r="Z114" s="1144"/>
      <c r="AA114" s="1144"/>
      <c r="AB114" s="1144"/>
      <c r="AC114" s="1144"/>
    </row>
    <row r="115" spans="1:29" ht="12.75" customHeight="1" x14ac:dyDescent="0.3">
      <c r="A115" s="666"/>
      <c r="B115" s="2436" t="str">
        <f>B81</f>
        <v>SILNIČNÍ osobní doprava</v>
      </c>
      <c r="C115" s="604" t="str">
        <f t="shared" si="23"/>
        <v>Nehody</v>
      </c>
      <c r="D115" s="658"/>
      <c r="E115" s="2193"/>
      <c r="F115" s="1151"/>
      <c r="G115" s="1151"/>
      <c r="H115" s="1151"/>
      <c r="I115" s="1151"/>
      <c r="J115" s="1151"/>
      <c r="K115" s="1151"/>
      <c r="L115" s="1151"/>
      <c r="M115" s="1151"/>
      <c r="N115" s="1151"/>
      <c r="O115" s="1151"/>
      <c r="P115" s="692"/>
      <c r="Q115" s="1151">
        <f>(Q302*$U$287*$F$183/1000)*Q529</f>
        <v>2681815.1401022407</v>
      </c>
      <c r="R115" s="692"/>
      <c r="S115" s="2204"/>
      <c r="T115" s="1981"/>
      <c r="U115" s="590"/>
      <c r="V115" s="590"/>
      <c r="W115" s="590"/>
      <c r="X115" s="590"/>
      <c r="Y115" s="590"/>
      <c r="Z115" s="590"/>
      <c r="AA115" s="590"/>
      <c r="AB115" s="590"/>
      <c r="AC115" s="590"/>
    </row>
    <row r="116" spans="1:29" ht="12.75" customHeight="1" x14ac:dyDescent="0.3">
      <c r="A116" s="666"/>
      <c r="B116" s="2437"/>
      <c r="C116" s="607" t="str">
        <f t="shared" si="23"/>
        <v>Hluk</v>
      </c>
      <c r="D116" s="625"/>
      <c r="E116" s="2195"/>
      <c r="F116" s="691"/>
      <c r="G116" s="691"/>
      <c r="H116" s="691"/>
      <c r="I116" s="691"/>
      <c r="J116" s="691"/>
      <c r="K116" s="691"/>
      <c r="L116" s="691"/>
      <c r="M116" s="691"/>
      <c r="N116" s="691"/>
      <c r="O116" s="691"/>
      <c r="P116" s="693"/>
      <c r="Q116" s="691">
        <f>(Q302*$U$287*$F$208/1000)*Q529</f>
        <v>345385.28319498559</v>
      </c>
      <c r="R116" s="693"/>
      <c r="S116" s="2205"/>
      <c r="T116" s="1981"/>
      <c r="U116" s="590"/>
      <c r="V116" s="590"/>
      <c r="W116" s="590"/>
      <c r="X116" s="590"/>
      <c r="Y116" s="590"/>
      <c r="Z116" s="590"/>
      <c r="AA116" s="590"/>
      <c r="AB116" s="590"/>
      <c r="AC116" s="590"/>
    </row>
    <row r="117" spans="1:29" ht="12.75" customHeight="1" x14ac:dyDescent="0.3">
      <c r="A117" s="666"/>
      <c r="B117" s="2437"/>
      <c r="C117" s="607" t="str">
        <f t="shared" si="23"/>
        <v>Znečištění ovzduší</v>
      </c>
      <c r="D117" s="625"/>
      <c r="E117" s="2195"/>
      <c r="F117" s="691"/>
      <c r="G117" s="691"/>
      <c r="H117" s="691"/>
      <c r="I117" s="691"/>
      <c r="J117" s="691"/>
      <c r="K117" s="691"/>
      <c r="L117" s="691"/>
      <c r="M117" s="691"/>
      <c r="N117" s="691"/>
      <c r="O117" s="691"/>
      <c r="P117" s="693"/>
      <c r="Q117" s="693">
        <f t="shared" ref="Q117" si="24">(Q301/$U$286*($E$224*$F$234+$F$224*$G$234+$H$225*$H$234+$I$225*$I$234)+Q302/$U$287*($E$224*$F$235+$F$224*$G$235+$H$225*$H$235+$I$225*$I$235))*Q529/1000^2</f>
        <v>19074.991046399948</v>
      </c>
      <c r="R117" s="693"/>
      <c r="S117" s="2205"/>
      <c r="T117" s="1981"/>
      <c r="U117" s="590"/>
      <c r="V117" s="590"/>
      <c r="W117" s="590"/>
      <c r="X117" s="590"/>
      <c r="Y117" s="590"/>
      <c r="Z117" s="590"/>
      <c r="AA117" s="590"/>
      <c r="AB117" s="590"/>
      <c r="AC117" s="590"/>
    </row>
    <row r="118" spans="1:29" ht="12.75" customHeight="1" x14ac:dyDescent="0.3">
      <c r="A118" s="666"/>
      <c r="B118" s="2437"/>
      <c r="C118" s="613" t="str">
        <f t="shared" si="23"/>
        <v>Klimatické změny</v>
      </c>
      <c r="D118" s="1240"/>
      <c r="E118" s="2199"/>
      <c r="F118" s="1241"/>
      <c r="G118" s="1241"/>
      <c r="H118" s="1241"/>
      <c r="I118" s="1241"/>
      <c r="J118" s="1241"/>
      <c r="K118" s="1241"/>
      <c r="L118" s="1241"/>
      <c r="M118" s="1241"/>
      <c r="N118" s="1241"/>
      <c r="O118" s="1241"/>
      <c r="P118" s="1242"/>
      <c r="Q118" s="1242">
        <f t="shared" ref="Q118" si="25">(Q301/$U$286*($D$224*$E$234)+Q302/$U$287*($D$224*$E$235))*Q529/1000^2</f>
        <v>8358.787878572035</v>
      </c>
      <c r="R118" s="1242"/>
      <c r="S118" s="2207"/>
      <c r="T118" s="1981"/>
      <c r="U118" s="590"/>
      <c r="V118" s="590"/>
      <c r="W118" s="590"/>
      <c r="X118" s="590"/>
      <c r="Y118" s="590"/>
      <c r="Z118" s="590"/>
      <c r="AA118" s="590"/>
      <c r="AB118" s="590"/>
      <c r="AC118" s="590"/>
    </row>
    <row r="119" spans="1:29" s="1145" customFormat="1" ht="12.75" customHeight="1" x14ac:dyDescent="0.3">
      <c r="A119" s="1141"/>
      <c r="B119" s="2438" t="str">
        <f>B85</f>
        <v>SILNIČNÍ nákladní doprava</v>
      </c>
      <c r="C119" s="1146" t="str">
        <f t="shared" si="23"/>
        <v>Nehody</v>
      </c>
      <c r="D119" s="1157"/>
      <c r="E119" s="2220">
        <f>(E304*$U$289*$F$187/1000)*E529*$J$247</f>
        <v>4636747.9361364366</v>
      </c>
      <c r="F119" s="1148">
        <f t="shared" ref="F119:S119" si="26">(F304*$U$289*$F$187/1000)*F529*$J$247</f>
        <v>4713347.0120414104</v>
      </c>
      <c r="G119" s="1148">
        <f t="shared" si="26"/>
        <v>4791211.5046803365</v>
      </c>
      <c r="H119" s="1148">
        <f t="shared" si="26"/>
        <v>4870362.3187376549</v>
      </c>
      <c r="I119" s="1148">
        <f t="shared" si="26"/>
        <v>4950820.7042432018</v>
      </c>
      <c r="J119" s="2035">
        <f t="shared" si="26"/>
        <v>5032608.2622772986</v>
      </c>
      <c r="K119" s="2035">
        <f t="shared" si="26"/>
        <v>5115746.9507701211</v>
      </c>
      <c r="L119" s="2035">
        <f t="shared" si="26"/>
        <v>5200259.0903968429</v>
      </c>
      <c r="M119" s="2035">
        <f t="shared" si="26"/>
        <v>5286167.3705702005</v>
      </c>
      <c r="N119" s="2035">
        <f t="shared" si="26"/>
        <v>5373494.8555320203</v>
      </c>
      <c r="O119" s="2035">
        <f t="shared" si="26"/>
        <v>5462264.9905454097</v>
      </c>
      <c r="P119" s="1148">
        <f t="shared" si="26"/>
        <v>5552501.6081892205</v>
      </c>
      <c r="Q119" s="1148">
        <f t="shared" si="26"/>
        <v>5644228.9347565072</v>
      </c>
      <c r="R119" s="1148">
        <f t="shared" si="26"/>
        <v>5737471.5967586851</v>
      </c>
      <c r="S119" s="2221">
        <f t="shared" si="26"/>
        <v>5832254.6275371397</v>
      </c>
      <c r="T119" s="2039"/>
      <c r="U119" s="1144"/>
      <c r="V119" s="1144"/>
      <c r="W119" s="1144"/>
      <c r="X119" s="1144"/>
      <c r="Y119" s="1144"/>
      <c r="Z119" s="1144"/>
      <c r="AA119" s="1144"/>
      <c r="AB119" s="1144"/>
      <c r="AC119" s="1144"/>
    </row>
    <row r="120" spans="1:29" s="1145" customFormat="1" ht="12.75" customHeight="1" x14ac:dyDescent="0.3">
      <c r="A120" s="1141"/>
      <c r="B120" s="2439"/>
      <c r="C120" s="1146" t="str">
        <f t="shared" si="23"/>
        <v>Hluk</v>
      </c>
      <c r="D120" s="1157"/>
      <c r="E120" s="2220">
        <f>(E304*$U$289*$F$211/1000)*E529*$J$247</f>
        <v>819912.74480461387</v>
      </c>
      <c r="F120" s="1148">
        <f t="shared" ref="F120:S120" si="27">(F304*$U$289*$F$211/1000)*F529*$J$247</f>
        <v>833457.70334878622</v>
      </c>
      <c r="G120" s="1148">
        <f t="shared" si="27"/>
        <v>847226.42460810824</v>
      </c>
      <c r="H120" s="1148">
        <f t="shared" si="27"/>
        <v>861222.60514263413</v>
      </c>
      <c r="I120" s="1148">
        <f t="shared" si="27"/>
        <v>875450.00257959065</v>
      </c>
      <c r="J120" s="1148">
        <f t="shared" si="27"/>
        <v>889912.43662220531</v>
      </c>
      <c r="K120" s="1148">
        <f t="shared" si="27"/>
        <v>904613.79007520434</v>
      </c>
      <c r="L120" s="1148">
        <f t="shared" si="27"/>
        <v>919558.00988724688</v>
      </c>
      <c r="M120" s="1148">
        <f t="shared" si="27"/>
        <v>934749.10821058415</v>
      </c>
      <c r="N120" s="1148">
        <f t="shared" si="27"/>
        <v>950191.16347822314</v>
      </c>
      <c r="O120" s="1148">
        <f t="shared" si="27"/>
        <v>965888.32149888342</v>
      </c>
      <c r="P120" s="1148">
        <f t="shared" si="27"/>
        <v>981844.79657004518</v>
      </c>
      <c r="Q120" s="1148">
        <f t="shared" si="27"/>
        <v>998064.87260938238</v>
      </c>
      <c r="R120" s="1148">
        <f t="shared" si="27"/>
        <v>1014552.9043048895</v>
      </c>
      <c r="S120" s="2221">
        <f t="shared" si="27"/>
        <v>1031313.3182840064</v>
      </c>
      <c r="T120" s="2039"/>
      <c r="U120" s="1144"/>
      <c r="V120" s="1144"/>
      <c r="W120" s="1144"/>
      <c r="X120" s="1144"/>
      <c r="Y120" s="1144"/>
      <c r="Z120" s="1144"/>
      <c r="AA120" s="1144"/>
      <c r="AB120" s="1144"/>
      <c r="AC120" s="1144"/>
    </row>
    <row r="121" spans="1:29" s="1145" customFormat="1" ht="12.75" customHeight="1" x14ac:dyDescent="0.3">
      <c r="A121" s="1141"/>
      <c r="B121" s="2439"/>
      <c r="C121" s="1146" t="str">
        <f t="shared" si="23"/>
        <v>Znečištění ovzduší</v>
      </c>
      <c r="D121" s="1157"/>
      <c r="E121" s="2220">
        <f>E304/$U$289*($E$224*$F$241+$F$224*$G$241+$H$225*$H$241+$I$225*$I$241)*E529/1000^2*$J$247</f>
        <v>204056.5775431559</v>
      </c>
      <c r="F121" s="1148">
        <f t="shared" ref="F121:S121" si="28">F304/$U$289*($E$224*$F$241+$F$224*$G$241+$H$225*$H$241+$I$225*$I$241)*F529/1000^2*$J$247</f>
        <v>207427.59220416885</v>
      </c>
      <c r="G121" s="1148">
        <f t="shared" si="28"/>
        <v>210854.29602738176</v>
      </c>
      <c r="H121" s="1148">
        <f t="shared" si="28"/>
        <v>214337.60899775411</v>
      </c>
      <c r="I121" s="1148">
        <f t="shared" si="28"/>
        <v>217878.46629839702</v>
      </c>
      <c r="J121" s="1148">
        <f t="shared" si="28"/>
        <v>221477.81856164651</v>
      </c>
      <c r="K121" s="1148">
        <f t="shared" si="28"/>
        <v>225136.63212428495</v>
      </c>
      <c r="L121" s="1148">
        <f t="shared" si="28"/>
        <v>228855.88928697814</v>
      </c>
      <c r="M121" s="1148">
        <f t="shared" si="28"/>
        <v>232636.58857799909</v>
      </c>
      <c r="N121" s="1148">
        <f t="shared" si="28"/>
        <v>236479.74502130764</v>
      </c>
      <c r="O121" s="1148">
        <f t="shared" si="28"/>
        <v>240386.39040905965</v>
      </c>
      <c r="P121" s="1148">
        <f t="shared" si="28"/>
        <v>244357.57357861736</v>
      </c>
      <c r="Q121" s="1148">
        <f t="shared" si="28"/>
        <v>248394.36069413612</v>
      </c>
      <c r="R121" s="1148">
        <f t="shared" si="28"/>
        <v>252497.83553280329</v>
      </c>
      <c r="S121" s="2221">
        <f t="shared" si="28"/>
        <v>256669.09977580523</v>
      </c>
      <c r="T121" s="2039"/>
      <c r="U121" s="1144"/>
      <c r="V121" s="1144"/>
      <c r="W121" s="1144"/>
      <c r="X121" s="1144"/>
      <c r="Y121" s="1144"/>
      <c r="Z121" s="1144"/>
      <c r="AA121" s="1144"/>
      <c r="AB121" s="1144"/>
      <c r="AC121" s="1144"/>
    </row>
    <row r="122" spans="1:29" s="1145" customFormat="1" ht="12.75" customHeight="1" thickBot="1" x14ac:dyDescent="0.35">
      <c r="A122" s="1141"/>
      <c r="B122" s="2440"/>
      <c r="C122" s="1155" t="str">
        <f t="shared" si="23"/>
        <v>Klimatické změny</v>
      </c>
      <c r="D122" s="1158"/>
      <c r="E122" s="2222">
        <f>(E304/$U$289*($D$224*$E$241))*E529/1000^2*$J$247</f>
        <v>96189.195291497148</v>
      </c>
      <c r="F122" s="1152">
        <f t="shared" ref="F122:S122" si="29">(F304/$U$289*($D$224*$E$241))*F529/1000^2*$J$247</f>
        <v>97778.2407977127</v>
      </c>
      <c r="G122" s="1152">
        <f t="shared" si="29"/>
        <v>99393.537335690926</v>
      </c>
      <c r="H122" s="1152">
        <f t="shared" si="29"/>
        <v>101035.51857247655</v>
      </c>
      <c r="I122" s="1152">
        <f t="shared" si="29"/>
        <v>102704.62533929385</v>
      </c>
      <c r="J122" s="1152">
        <f t="shared" si="29"/>
        <v>104401.30574989899</v>
      </c>
      <c r="K122" s="1152">
        <f t="shared" si="29"/>
        <v>106126.01532088734</v>
      </c>
      <c r="L122" s="1152">
        <f t="shared" si="29"/>
        <v>107879.21709398841</v>
      </c>
      <c r="M122" s="1152">
        <f t="shared" si="29"/>
        <v>109661.3817603811</v>
      </c>
      <c r="N122" s="1152">
        <f t="shared" si="29"/>
        <v>111472.98778706259</v>
      </c>
      <c r="O122" s="1152">
        <f t="shared" si="29"/>
        <v>113314.5215453049</v>
      </c>
      <c r="P122" s="1152">
        <f t="shared" si="29"/>
        <v>115186.47744123335</v>
      </c>
      <c r="Q122" s="1152">
        <f t="shared" si="29"/>
        <v>117089.35804856254</v>
      </c>
      <c r="R122" s="1152">
        <f t="shared" si="29"/>
        <v>119023.6742435248</v>
      </c>
      <c r="S122" s="2223">
        <f t="shared" si="29"/>
        <v>120989.94534202784</v>
      </c>
      <c r="T122" s="2039"/>
      <c r="U122" s="1144"/>
      <c r="V122" s="1144"/>
      <c r="W122" s="1144"/>
      <c r="X122" s="1144"/>
      <c r="Y122" s="1144"/>
      <c r="Z122" s="1144"/>
      <c r="AA122" s="1144"/>
      <c r="AB122" s="1144"/>
      <c r="AC122" s="1144"/>
    </row>
    <row r="123" spans="1:29" ht="12.75" customHeight="1" x14ac:dyDescent="0.3">
      <c r="A123" s="666"/>
      <c r="B123" s="2436" t="str">
        <f>B89</f>
        <v>VODNÍ os. doprava</v>
      </c>
      <c r="C123" s="604" t="str">
        <f t="shared" si="23"/>
        <v>Nehody</v>
      </c>
      <c r="D123" s="658"/>
      <c r="E123" s="2193"/>
      <c r="F123" s="1151"/>
      <c r="G123" s="1151"/>
      <c r="H123" s="1151"/>
      <c r="I123" s="1151"/>
      <c r="J123" s="1151"/>
      <c r="K123" s="1151"/>
      <c r="L123" s="1151"/>
      <c r="M123" s="1151"/>
      <c r="N123" s="1151"/>
      <c r="O123" s="1151"/>
      <c r="P123" s="692"/>
      <c r="Q123" s="692"/>
      <c r="R123" s="692"/>
      <c r="S123" s="2204"/>
      <c r="T123" s="1981"/>
      <c r="U123" s="590"/>
      <c r="V123" s="590"/>
      <c r="W123" s="590"/>
      <c r="X123" s="590"/>
      <c r="Y123" s="590"/>
      <c r="Z123" s="590"/>
      <c r="AA123" s="590"/>
      <c r="AB123" s="590"/>
      <c r="AC123" s="590"/>
    </row>
    <row r="124" spans="1:29" ht="12.75" customHeight="1" x14ac:dyDescent="0.3">
      <c r="A124" s="666"/>
      <c r="B124" s="2446"/>
      <c r="C124" s="1239" t="str">
        <f t="shared" si="23"/>
        <v>Hluk</v>
      </c>
      <c r="D124" s="1240"/>
      <c r="E124" s="2199"/>
      <c r="F124" s="1241"/>
      <c r="G124" s="1241"/>
      <c r="H124" s="1241"/>
      <c r="I124" s="1241"/>
      <c r="J124" s="1241"/>
      <c r="K124" s="1241"/>
      <c r="L124" s="1241"/>
      <c r="M124" s="1241"/>
      <c r="N124" s="1241"/>
      <c r="O124" s="1241"/>
      <c r="P124" s="1242"/>
      <c r="Q124" s="1242"/>
      <c r="R124" s="1242"/>
      <c r="S124" s="2207"/>
      <c r="T124" s="1981"/>
      <c r="U124" s="590"/>
      <c r="V124" s="590"/>
      <c r="W124" s="590"/>
      <c r="X124" s="590"/>
      <c r="Y124" s="590"/>
      <c r="Z124" s="590"/>
      <c r="AA124" s="590"/>
      <c r="AB124" s="590"/>
      <c r="AC124" s="590"/>
    </row>
    <row r="125" spans="1:29" s="1145" customFormat="1" ht="12.75" customHeight="1" x14ac:dyDescent="0.3">
      <c r="A125" s="1141"/>
      <c r="B125" s="2445" t="str">
        <f>B91</f>
        <v>VODNÍ nákladní doprava</v>
      </c>
      <c r="C125" s="1146" t="str">
        <f t="shared" si="23"/>
        <v>Nehody</v>
      </c>
      <c r="D125" s="1157"/>
      <c r="E125" s="2220"/>
      <c r="F125" s="1148"/>
      <c r="G125" s="1148"/>
      <c r="H125" s="1148"/>
      <c r="I125" s="1148"/>
      <c r="J125" s="1148"/>
      <c r="K125" s="1148"/>
      <c r="L125" s="1148"/>
      <c r="M125" s="1148"/>
      <c r="N125" s="1148"/>
      <c r="O125" s="1148"/>
      <c r="P125" s="1148"/>
      <c r="Q125" s="1148"/>
      <c r="R125" s="1148"/>
      <c r="S125" s="2221"/>
      <c r="T125" s="2039"/>
      <c r="U125" s="1144"/>
      <c r="V125" s="1144"/>
      <c r="W125" s="1144"/>
      <c r="X125" s="1144"/>
      <c r="Y125" s="1144"/>
      <c r="Z125" s="1144"/>
      <c r="AA125" s="1144"/>
      <c r="AB125" s="1144"/>
      <c r="AC125" s="1144"/>
    </row>
    <row r="126" spans="1:29" s="1145" customFormat="1" ht="12.75" customHeight="1" x14ac:dyDescent="0.3">
      <c r="A126" s="1141"/>
      <c r="B126" s="2439"/>
      <c r="C126" s="1146" t="str">
        <f t="shared" si="23"/>
        <v>Hluk</v>
      </c>
      <c r="D126" s="1157"/>
      <c r="E126" s="2220"/>
      <c r="F126" s="1148"/>
      <c r="G126" s="1148"/>
      <c r="H126" s="1148"/>
      <c r="I126" s="1148"/>
      <c r="J126" s="1148"/>
      <c r="K126" s="1148"/>
      <c r="L126" s="1148"/>
      <c r="M126" s="1148"/>
      <c r="N126" s="1148"/>
      <c r="O126" s="1148"/>
      <c r="P126" s="1148"/>
      <c r="Q126" s="1148"/>
      <c r="R126" s="1148"/>
      <c r="S126" s="2221"/>
      <c r="T126" s="2039"/>
      <c r="U126" s="1144"/>
      <c r="V126" s="1144"/>
      <c r="W126" s="1144"/>
      <c r="X126" s="1144"/>
      <c r="Y126" s="1144"/>
      <c r="Z126" s="1144"/>
      <c r="AA126" s="1144"/>
      <c r="AB126" s="1144"/>
      <c r="AC126" s="1144"/>
    </row>
    <row r="127" spans="1:29" s="1145" customFormat="1" ht="12.75" customHeight="1" x14ac:dyDescent="0.3">
      <c r="A127" s="1141"/>
      <c r="B127" s="2439"/>
      <c r="C127" s="1146" t="str">
        <f t="shared" si="23"/>
        <v>Znečištění ovzduší</v>
      </c>
      <c r="D127" s="1157"/>
      <c r="E127" s="2220"/>
      <c r="F127" s="1148"/>
      <c r="G127" s="1148"/>
      <c r="H127" s="1148"/>
      <c r="I127" s="1148"/>
      <c r="J127" s="1148"/>
      <c r="K127" s="1148"/>
      <c r="L127" s="1148"/>
      <c r="M127" s="1148"/>
      <c r="N127" s="1148"/>
      <c r="O127" s="1148"/>
      <c r="P127" s="1148"/>
      <c r="Q127" s="1148"/>
      <c r="R127" s="1148"/>
      <c r="S127" s="2221"/>
      <c r="T127" s="2039"/>
      <c r="U127" s="1144"/>
      <c r="V127" s="1144"/>
      <c r="W127" s="1144"/>
      <c r="X127" s="1144"/>
      <c r="Y127" s="1144"/>
      <c r="Z127" s="1144"/>
      <c r="AA127" s="1144"/>
      <c r="AB127" s="1144"/>
      <c r="AC127" s="1144"/>
    </row>
    <row r="128" spans="1:29" s="1145" customFormat="1" ht="12.75" customHeight="1" thickBot="1" x14ac:dyDescent="0.35">
      <c r="A128" s="1141"/>
      <c r="B128" s="2442"/>
      <c r="C128" s="1146" t="str">
        <f t="shared" si="23"/>
        <v>Klimatické změny</v>
      </c>
      <c r="D128" s="1157"/>
      <c r="E128" s="2220"/>
      <c r="F128" s="1148"/>
      <c r="G128" s="1148"/>
      <c r="H128" s="1148"/>
      <c r="I128" s="1148"/>
      <c r="J128" s="1148"/>
      <c r="K128" s="1148"/>
      <c r="L128" s="1148"/>
      <c r="M128" s="1148"/>
      <c r="N128" s="1148"/>
      <c r="O128" s="1148"/>
      <c r="P128" s="1148"/>
      <c r="Q128" s="1148"/>
      <c r="R128" s="1148"/>
      <c r="S128" s="2221"/>
      <c r="T128" s="2039"/>
      <c r="U128" s="1144"/>
      <c r="V128" s="1144"/>
      <c r="W128" s="1144"/>
      <c r="X128" s="1144"/>
      <c r="Y128" s="1144"/>
      <c r="Z128" s="1144"/>
      <c r="AA128" s="1144"/>
      <c r="AB128" s="1144"/>
      <c r="AC128" s="1144"/>
    </row>
    <row r="129" spans="1:29" ht="12.75" customHeight="1" x14ac:dyDescent="0.3">
      <c r="A129" s="666"/>
      <c r="B129" s="2436" t="str">
        <f>B95</f>
        <v>OSTATNÍ osobní doprava</v>
      </c>
      <c r="C129" s="604" t="str">
        <f t="shared" si="23"/>
        <v>Nehody</v>
      </c>
      <c r="D129" s="658"/>
      <c r="E129" s="2193"/>
      <c r="F129" s="1151"/>
      <c r="G129" s="1151"/>
      <c r="H129" s="1151"/>
      <c r="I129" s="1151"/>
      <c r="J129" s="1151"/>
      <c r="K129" s="1151"/>
      <c r="L129" s="1151"/>
      <c r="M129" s="1151"/>
      <c r="N129" s="1151"/>
      <c r="O129" s="1151"/>
      <c r="P129" s="692"/>
      <c r="Q129" s="692"/>
      <c r="R129" s="692"/>
      <c r="S129" s="2204"/>
      <c r="T129" s="1981"/>
      <c r="U129" s="590"/>
      <c r="V129" s="590"/>
      <c r="W129" s="590"/>
      <c r="X129" s="590"/>
      <c r="Y129" s="590"/>
      <c r="Z129" s="590"/>
      <c r="AA129" s="590"/>
      <c r="AB129" s="590"/>
      <c r="AC129" s="590"/>
    </row>
    <row r="130" spans="1:29" ht="12.75" customHeight="1" x14ac:dyDescent="0.3">
      <c r="A130" s="666"/>
      <c r="B130" s="2437"/>
      <c r="C130" s="607" t="str">
        <f t="shared" si="23"/>
        <v>Hluk</v>
      </c>
      <c r="D130" s="625"/>
      <c r="E130" s="2195"/>
      <c r="F130" s="691"/>
      <c r="G130" s="691"/>
      <c r="H130" s="691"/>
      <c r="I130" s="691"/>
      <c r="J130" s="691"/>
      <c r="K130" s="691"/>
      <c r="L130" s="691"/>
      <c r="M130" s="691"/>
      <c r="N130" s="691"/>
      <c r="O130" s="691"/>
      <c r="P130" s="693"/>
      <c r="Q130" s="693"/>
      <c r="R130" s="693"/>
      <c r="S130" s="2205"/>
      <c r="T130" s="1981"/>
      <c r="U130" s="590"/>
      <c r="V130" s="590"/>
      <c r="W130" s="590"/>
      <c r="X130" s="590"/>
      <c r="Y130" s="590"/>
      <c r="Z130" s="590"/>
      <c r="AA130" s="590"/>
      <c r="AB130" s="590"/>
      <c r="AC130" s="590"/>
    </row>
    <row r="131" spans="1:29" ht="12.75" customHeight="1" x14ac:dyDescent="0.3">
      <c r="A131" s="666"/>
      <c r="B131" s="2437"/>
      <c r="C131" s="607" t="str">
        <f t="shared" si="23"/>
        <v>Znečištění ovzduší</v>
      </c>
      <c r="D131" s="625"/>
      <c r="E131" s="2195"/>
      <c r="F131" s="691"/>
      <c r="G131" s="691"/>
      <c r="H131" s="691"/>
      <c r="I131" s="691"/>
      <c r="J131" s="691"/>
      <c r="K131" s="691"/>
      <c r="L131" s="691"/>
      <c r="M131" s="691"/>
      <c r="N131" s="691"/>
      <c r="O131" s="691"/>
      <c r="P131" s="693"/>
      <c r="Q131" s="693"/>
      <c r="R131" s="693"/>
      <c r="S131" s="2205"/>
      <c r="T131" s="1981"/>
      <c r="U131" s="590"/>
      <c r="V131" s="590"/>
      <c r="W131" s="590"/>
      <c r="X131" s="590"/>
      <c r="Y131" s="590"/>
      <c r="Z131" s="590"/>
      <c r="AA131" s="590"/>
      <c r="AB131" s="590"/>
      <c r="AC131" s="590"/>
    </row>
    <row r="132" spans="1:29" ht="12.75" customHeight="1" x14ac:dyDescent="0.3">
      <c r="A132" s="666"/>
      <c r="B132" s="2437"/>
      <c r="C132" s="613" t="str">
        <f t="shared" si="23"/>
        <v>Klimatické změny</v>
      </c>
      <c r="D132" s="1240"/>
      <c r="E132" s="2199"/>
      <c r="F132" s="1241"/>
      <c r="G132" s="1241"/>
      <c r="H132" s="1241"/>
      <c r="I132" s="1241"/>
      <c r="J132" s="1241"/>
      <c r="K132" s="1241"/>
      <c r="L132" s="1241"/>
      <c r="M132" s="1241"/>
      <c r="N132" s="1241"/>
      <c r="O132" s="1241"/>
      <c r="P132" s="1242"/>
      <c r="Q132" s="1242"/>
      <c r="R132" s="1242"/>
      <c r="S132" s="2207"/>
      <c r="T132" s="1981"/>
      <c r="U132" s="590"/>
      <c r="V132" s="590"/>
      <c r="W132" s="590"/>
      <c r="X132" s="590"/>
      <c r="Y132" s="590"/>
      <c r="Z132" s="590"/>
      <c r="AA132" s="590"/>
      <c r="AB132" s="590"/>
      <c r="AC132" s="590"/>
    </row>
    <row r="133" spans="1:29" s="1145" customFormat="1" ht="12.75" customHeight="1" x14ac:dyDescent="0.3">
      <c r="A133" s="1141"/>
      <c r="B133" s="2438" t="str">
        <f>B99</f>
        <v>OSTATNÍ nákladní doprava</v>
      </c>
      <c r="C133" s="1146" t="str">
        <f t="shared" si="23"/>
        <v>Nehody</v>
      </c>
      <c r="D133" s="1157"/>
      <c r="E133" s="2220"/>
      <c r="F133" s="1148"/>
      <c r="G133" s="1148"/>
      <c r="H133" s="1148"/>
      <c r="I133" s="1148"/>
      <c r="J133" s="1148"/>
      <c r="K133" s="1148"/>
      <c r="L133" s="1148"/>
      <c r="M133" s="1148"/>
      <c r="N133" s="1148"/>
      <c r="O133" s="1148"/>
      <c r="P133" s="1148"/>
      <c r="Q133" s="1148"/>
      <c r="R133" s="1148"/>
      <c r="S133" s="2221"/>
      <c r="T133" s="2039"/>
      <c r="U133" s="1144"/>
      <c r="V133" s="1144"/>
      <c r="W133" s="1144"/>
      <c r="X133" s="1144"/>
      <c r="Y133" s="1144"/>
      <c r="Z133" s="1144"/>
      <c r="AA133" s="1144"/>
      <c r="AB133" s="1144"/>
      <c r="AC133" s="1144"/>
    </row>
    <row r="134" spans="1:29" s="1145" customFormat="1" ht="12.75" customHeight="1" x14ac:dyDescent="0.3">
      <c r="A134" s="1141"/>
      <c r="B134" s="2439"/>
      <c r="C134" s="1146" t="str">
        <f t="shared" si="23"/>
        <v>Hluk</v>
      </c>
      <c r="D134" s="1157"/>
      <c r="E134" s="2220"/>
      <c r="F134" s="1148"/>
      <c r="G134" s="1148"/>
      <c r="H134" s="1148"/>
      <c r="I134" s="1148"/>
      <c r="J134" s="1148"/>
      <c r="K134" s="1148"/>
      <c r="L134" s="1148"/>
      <c r="M134" s="1148"/>
      <c r="N134" s="1148"/>
      <c r="O134" s="1148"/>
      <c r="P134" s="1148"/>
      <c r="Q134" s="1148"/>
      <c r="R134" s="1148"/>
      <c r="S134" s="2221"/>
      <c r="T134" s="2039"/>
      <c r="U134" s="1144"/>
      <c r="V134" s="1144"/>
      <c r="W134" s="1144"/>
      <c r="X134" s="1144"/>
      <c r="Y134" s="1144"/>
      <c r="Z134" s="1144"/>
      <c r="AA134" s="1144"/>
      <c r="AB134" s="1144"/>
      <c r="AC134" s="1144"/>
    </row>
    <row r="135" spans="1:29" s="1145" customFormat="1" ht="12.75" customHeight="1" x14ac:dyDescent="0.3">
      <c r="A135" s="1141"/>
      <c r="B135" s="2439"/>
      <c r="C135" s="1146" t="str">
        <f t="shared" si="23"/>
        <v>Znečištění ovzduší</v>
      </c>
      <c r="D135" s="1157"/>
      <c r="E135" s="2220"/>
      <c r="F135" s="1148"/>
      <c r="G135" s="1148"/>
      <c r="H135" s="1148"/>
      <c r="I135" s="1148"/>
      <c r="J135" s="1148"/>
      <c r="K135" s="1148"/>
      <c r="L135" s="1148"/>
      <c r="M135" s="1148"/>
      <c r="N135" s="1148"/>
      <c r="O135" s="1148"/>
      <c r="P135" s="1148"/>
      <c r="Q135" s="1148"/>
      <c r="R135" s="1148"/>
      <c r="S135" s="2221"/>
      <c r="T135" s="2039"/>
      <c r="U135" s="1144"/>
      <c r="V135" s="1144"/>
      <c r="W135" s="1144"/>
      <c r="X135" s="1144"/>
      <c r="Y135" s="1144"/>
      <c r="Z135" s="1144"/>
      <c r="AA135" s="1144"/>
      <c r="AB135" s="1144"/>
      <c r="AC135" s="1144"/>
    </row>
    <row r="136" spans="1:29" s="1145" customFormat="1" ht="12.75" customHeight="1" x14ac:dyDescent="0.3">
      <c r="A136" s="1141"/>
      <c r="B136" s="2439"/>
      <c r="C136" s="1147" t="str">
        <f t="shared" si="23"/>
        <v>Klimatické změny</v>
      </c>
      <c r="D136" s="2037"/>
      <c r="E136" s="2224"/>
      <c r="F136" s="2225"/>
      <c r="G136" s="2225"/>
      <c r="H136" s="2225"/>
      <c r="I136" s="2225"/>
      <c r="J136" s="2225"/>
      <c r="K136" s="2225"/>
      <c r="L136" s="2225"/>
      <c r="M136" s="2225"/>
      <c r="N136" s="2225"/>
      <c r="O136" s="2225"/>
      <c r="P136" s="2225"/>
      <c r="Q136" s="2225"/>
      <c r="R136" s="2225"/>
      <c r="S136" s="2226"/>
      <c r="T136" s="2039"/>
      <c r="U136" s="1144"/>
      <c r="V136" s="1144"/>
      <c r="W136" s="1144"/>
      <c r="X136" s="1144"/>
      <c r="Y136" s="1144"/>
      <c r="Z136" s="1144"/>
      <c r="AA136" s="1144"/>
      <c r="AB136" s="1144"/>
      <c r="AC136" s="1144"/>
    </row>
    <row r="137" spans="1:29" ht="12.75" customHeight="1" thickBot="1" x14ac:dyDescent="0.35">
      <c r="A137" s="675"/>
      <c r="B137" s="1168"/>
      <c r="C137" s="853" t="str">
        <f t="shared" si="23"/>
        <v>Celkové externí náklady</v>
      </c>
      <c r="D137" s="1169"/>
      <c r="E137" s="2043">
        <f t="shared" ref="E137:R137" si="30">SUM(E107:E136)</f>
        <v>5756906.4537757039</v>
      </c>
      <c r="F137" s="2044">
        <f t="shared" si="30"/>
        <v>5852010.5483920779</v>
      </c>
      <c r="G137" s="2044">
        <f t="shared" si="30"/>
        <v>5948685.762651518</v>
      </c>
      <c r="H137" s="2044">
        <f t="shared" si="30"/>
        <v>6046958.0514505198</v>
      </c>
      <c r="I137" s="2044">
        <f t="shared" si="30"/>
        <v>6146853.7984604826</v>
      </c>
      <c r="J137" s="2044">
        <f t="shared" si="30"/>
        <v>6248399.8232110487</v>
      </c>
      <c r="K137" s="2044">
        <f t="shared" si="30"/>
        <v>6351623.3882904984</v>
      </c>
      <c r="L137" s="2044">
        <f t="shared" si="30"/>
        <v>6456552.2066650568</v>
      </c>
      <c r="M137" s="2044">
        <f t="shared" si="30"/>
        <v>6563214.4491191646</v>
      </c>
      <c r="N137" s="2044">
        <f t="shared" si="30"/>
        <v>6671638.7518186141</v>
      </c>
      <c r="O137" s="2044">
        <f t="shared" si="30"/>
        <v>6781854.2239986574</v>
      </c>
      <c r="P137" s="2044">
        <f t="shared" si="30"/>
        <v>6893890.4557791166</v>
      </c>
      <c r="Q137" s="2044">
        <f t="shared" si="30"/>
        <v>9810375.7882422712</v>
      </c>
      <c r="R137" s="2044">
        <f t="shared" si="30"/>
        <v>7123546.0108399019</v>
      </c>
      <c r="S137" s="2045">
        <f>SUM(S107:S136)</f>
        <v>7241226.9909389792</v>
      </c>
      <c r="T137" s="679"/>
      <c r="U137" s="679"/>
      <c r="V137" s="679"/>
      <c r="W137" s="679"/>
      <c r="X137" s="679"/>
      <c r="Y137" s="679"/>
      <c r="Z137" s="679"/>
      <c r="AA137" s="679"/>
      <c r="AB137" s="679"/>
      <c r="AC137" s="679"/>
    </row>
    <row r="138" spans="1:29" ht="12.75" customHeight="1" x14ac:dyDescent="0.3">
      <c r="A138" s="675"/>
      <c r="B138" s="676"/>
      <c r="C138" s="675"/>
      <c r="D138" s="590"/>
      <c r="E138" s="679"/>
      <c r="F138" s="679"/>
      <c r="G138" s="679"/>
      <c r="H138" s="679"/>
      <c r="I138" s="679"/>
      <c r="J138" s="679"/>
      <c r="K138" s="679"/>
      <c r="L138" s="679"/>
      <c r="M138" s="679"/>
      <c r="N138" s="679"/>
      <c r="O138" s="679"/>
      <c r="P138" s="679"/>
      <c r="Q138" s="679"/>
      <c r="R138" s="679"/>
      <c r="S138" s="679"/>
      <c r="T138" s="679"/>
      <c r="U138" s="679"/>
      <c r="V138" s="679"/>
      <c r="W138" s="679"/>
      <c r="X138" s="679"/>
      <c r="Y138" s="679"/>
      <c r="Z138" s="679"/>
      <c r="AA138" s="679"/>
      <c r="AB138" s="679"/>
      <c r="AC138" s="679"/>
    </row>
    <row r="139" spans="1:29" ht="12.75" customHeight="1" thickBot="1" x14ac:dyDescent="0.35">
      <c r="A139" s="666"/>
      <c r="B139" s="676"/>
      <c r="C139" s="667"/>
      <c r="D139" s="590"/>
      <c r="E139" s="590"/>
      <c r="F139" s="590"/>
      <c r="G139" s="590"/>
      <c r="H139" s="590"/>
      <c r="I139" s="590"/>
      <c r="J139" s="590"/>
      <c r="K139" s="590"/>
      <c r="L139" s="590"/>
      <c r="M139" s="590"/>
      <c r="N139" s="590"/>
      <c r="O139" s="590"/>
      <c r="P139" s="590"/>
      <c r="Q139" s="590"/>
      <c r="R139" s="590"/>
      <c r="S139" s="590"/>
      <c r="T139" s="590"/>
      <c r="U139" s="590"/>
      <c r="V139" s="590"/>
      <c r="W139" s="590"/>
      <c r="X139" s="590"/>
      <c r="Y139" s="590"/>
      <c r="Z139" s="590"/>
      <c r="AA139" s="590"/>
      <c r="AB139" s="590"/>
      <c r="AC139" s="590"/>
    </row>
    <row r="140" spans="1:29" ht="12.75" customHeight="1" x14ac:dyDescent="0.3">
      <c r="A140" s="666"/>
      <c r="B140" s="645" t="s">
        <v>112</v>
      </c>
      <c r="C140" s="872" t="str">
        <f>IF('0 Úvod'!$M$10="English",Slovnik!$D$288,Slovnik!$C$288)</f>
        <v>Celkem externí efekty - úspory (CZK)</v>
      </c>
      <c r="D140" s="647"/>
      <c r="E140" s="2381">
        <f>E2</f>
        <v>2021</v>
      </c>
      <c r="F140" s="2377">
        <f t="shared" ref="F140:S140" si="31">E140+1</f>
        <v>2022</v>
      </c>
      <c r="G140" s="2377">
        <f t="shared" si="31"/>
        <v>2023</v>
      </c>
      <c r="H140" s="2377">
        <f t="shared" si="31"/>
        <v>2024</v>
      </c>
      <c r="I140" s="2377">
        <f t="shared" si="31"/>
        <v>2025</v>
      </c>
      <c r="J140" s="2377">
        <f t="shared" si="31"/>
        <v>2026</v>
      </c>
      <c r="K140" s="2377">
        <f t="shared" si="31"/>
        <v>2027</v>
      </c>
      <c r="L140" s="2377">
        <f t="shared" si="31"/>
        <v>2028</v>
      </c>
      <c r="M140" s="2377">
        <f t="shared" si="31"/>
        <v>2029</v>
      </c>
      <c r="N140" s="2377">
        <f t="shared" si="31"/>
        <v>2030</v>
      </c>
      <c r="O140" s="2377">
        <f t="shared" si="31"/>
        <v>2031</v>
      </c>
      <c r="P140" s="2377">
        <f t="shared" si="31"/>
        <v>2032</v>
      </c>
      <c r="Q140" s="2377">
        <f t="shared" si="31"/>
        <v>2033</v>
      </c>
      <c r="R140" s="2377">
        <f t="shared" si="31"/>
        <v>2034</v>
      </c>
      <c r="S140" s="2383">
        <f t="shared" si="31"/>
        <v>2035</v>
      </c>
      <c r="T140" s="669"/>
      <c r="U140" s="669"/>
      <c r="V140" s="669"/>
      <c r="W140" s="669"/>
      <c r="X140" s="669"/>
      <c r="Y140" s="669"/>
      <c r="Z140" s="669"/>
      <c r="AA140" s="669"/>
      <c r="AB140" s="669"/>
      <c r="AC140" s="669"/>
    </row>
    <row r="141" spans="1:29" ht="12.75" customHeight="1" thickBot="1" x14ac:dyDescent="0.35">
      <c r="A141" s="666"/>
      <c r="B141" s="699" t="s">
        <v>23</v>
      </c>
      <c r="C141" s="700"/>
      <c r="D141" s="650" t="str">
        <f>D72</f>
        <v>Celkem</v>
      </c>
      <c r="E141" s="2382"/>
      <c r="F141" s="2378"/>
      <c r="G141" s="2378"/>
      <c r="H141" s="2378"/>
      <c r="I141" s="2378"/>
      <c r="J141" s="2378"/>
      <c r="K141" s="2378"/>
      <c r="L141" s="2378"/>
      <c r="M141" s="2378"/>
      <c r="N141" s="2378"/>
      <c r="O141" s="2378"/>
      <c r="P141" s="2378"/>
      <c r="Q141" s="2378"/>
      <c r="R141" s="2378"/>
      <c r="S141" s="2384"/>
      <c r="T141" s="669"/>
      <c r="U141" s="669"/>
      <c r="V141" s="669"/>
      <c r="W141" s="669"/>
      <c r="X141" s="669"/>
      <c r="Y141" s="669"/>
      <c r="Z141" s="669"/>
      <c r="AA141" s="669"/>
      <c r="AB141" s="669"/>
      <c r="AC141" s="669"/>
    </row>
    <row r="142" spans="1:29" ht="12.75" customHeight="1" x14ac:dyDescent="0.3">
      <c r="A142" s="680"/>
      <c r="B142" s="2451" t="str">
        <f>IF('0 Úvod'!$M$10="English",Slovnik!$D$285,Slovnik!$C$285)</f>
        <v>Osobní</v>
      </c>
      <c r="C142" s="604" t="str">
        <f>C129</f>
        <v>Nehody</v>
      </c>
      <c r="D142" s="605">
        <f>SUM(E142:S142,E154:S154)</f>
        <v>1730163.8622901826</v>
      </c>
      <c r="E142" s="1177">
        <f>(E73+E81+E89+E95-E4-E12-E20-E26)+('Vstupy z HDM-4 a EXNAD'!F8-'Vstupy z HDM-4 a EXNAD'!K8)/'12 Ekonomická analýza (ERR)'!F21*1000000*E524</f>
        <v>0</v>
      </c>
      <c r="F142" s="895">
        <f>(F73+F81+F89+F95-F4-F12-F20-F26)+('Vstupy z HDM-4 a EXNAD'!F9-'Vstupy z HDM-4 a EXNAD'!K9)/'12 Ekonomická analýza (ERR)'!G21*1000000*F524</f>
        <v>0</v>
      </c>
      <c r="G142" s="895">
        <f>(G73+G81+G89+G95-G4-G12-G20-G26)+('Vstupy z HDM-4 a EXNAD'!F10-'Vstupy z HDM-4 a EXNAD'!K10)/'12 Ekonomická analýza (ERR)'!H21*1000000*G524</f>
        <v>1730163.8622901826</v>
      </c>
      <c r="H142" s="895">
        <f>(H73+H81+H89+H95-H4-H12-H20-H26)+('Vstupy z HDM-4 a EXNAD'!F11-'Vstupy z HDM-4 a EXNAD'!K11)/'12 Ekonomická analýza (ERR)'!I21*1000000*H524</f>
        <v>0</v>
      </c>
      <c r="I142" s="895">
        <f>(I73+I81+I89+I95-I4-I12-I20-I26)+('Vstupy z HDM-4 a EXNAD'!F12-'Vstupy z HDM-4 a EXNAD'!K12)/'12 Ekonomická analýza (ERR)'!J21*1000000*I524</f>
        <v>0</v>
      </c>
      <c r="J142" s="895">
        <f>(J73+J81+J89+J95-J4-J12-J20-J26)+('Vstupy z HDM-4 a EXNAD'!F13-'Vstupy z HDM-4 a EXNAD'!K13)/'12 Ekonomická analýza (ERR)'!K21*1000000*J524</f>
        <v>0</v>
      </c>
      <c r="K142" s="895">
        <f>(K73+K81+K89+K95-K4-K12-K20-K26)+('Vstupy z HDM-4 a EXNAD'!F14-'Vstupy z HDM-4 a EXNAD'!K14)/'12 Ekonomická analýza (ERR)'!L21*1000000*K524</f>
        <v>0</v>
      </c>
      <c r="L142" s="895">
        <f>(L73+L81+L89+L95-L4-L12-L20-L26)+('Vstupy z HDM-4 a EXNAD'!F15-'Vstupy z HDM-4 a EXNAD'!K15)/'12 Ekonomická analýza (ERR)'!M21*1000000*L524</f>
        <v>0</v>
      </c>
      <c r="M142" s="895">
        <f>(M73+M81+M89+M95-M4-M12-M20-M26)+('Vstupy z HDM-4 a EXNAD'!F16-'Vstupy z HDM-4 a EXNAD'!K16)/'12 Ekonomická analýza (ERR)'!N21*1000000*M524</f>
        <v>0</v>
      </c>
      <c r="N142" s="895">
        <f>(N73+N81+N89+N95-N4-N12-N20-N26)+('Vstupy z HDM-4 a EXNAD'!F17-'Vstupy z HDM-4 a EXNAD'!K17)/'12 Ekonomická analýza (ERR)'!O21*1000000*N524</f>
        <v>0</v>
      </c>
      <c r="O142" s="895">
        <f>(O73+O81+O89+O95-O4-O12-O20-O26)+('Vstupy z HDM-4 a EXNAD'!F18-'Vstupy z HDM-4 a EXNAD'!K18)/'12 Ekonomická analýza (ERR)'!P21*1000000*O524</f>
        <v>0</v>
      </c>
      <c r="P142" s="895">
        <f>(P73+P81+P89+P95-P4-P12-P20-P26)+('Vstupy z HDM-4 a EXNAD'!F19-'Vstupy z HDM-4 a EXNAD'!K19)/'12 Ekonomická analýza (ERR)'!Q21*1000000*P524</f>
        <v>0</v>
      </c>
      <c r="Q142" s="895">
        <f>(Q73+Q81+Q89+Q95-Q4-Q12-Q20-Q26)+('Vstupy z HDM-4 a EXNAD'!F20-'Vstupy z HDM-4 a EXNAD'!K20)/'12 Ekonomická analýza (ERR)'!R21*1000000*Q524</f>
        <v>0</v>
      </c>
      <c r="R142" s="895">
        <f>(R73+R81+R89+R95-R4-R12-R20-R26)+('Vstupy z HDM-4 a EXNAD'!F21-'Vstupy z HDM-4 a EXNAD'!K21)/'12 Ekonomická analýza (ERR)'!S21*1000000*R524</f>
        <v>0</v>
      </c>
      <c r="S142" s="896">
        <f>(S73+S81+S89+S95-S4-S12-S20-S26)+('Vstupy z HDM-4 a EXNAD'!F22-'Vstupy z HDM-4 a EXNAD'!K22)/'12 Ekonomická analýza (ERR)'!T21*1000000*S524</f>
        <v>0</v>
      </c>
      <c r="T142" s="590"/>
      <c r="U142" s="590"/>
      <c r="V142" s="590"/>
      <c r="W142" s="590"/>
      <c r="X142" s="590"/>
      <c r="Y142" s="590"/>
      <c r="Z142" s="590"/>
      <c r="AA142" s="590"/>
      <c r="AB142" s="590"/>
      <c r="AC142" s="590"/>
    </row>
    <row r="143" spans="1:29" ht="12.75" customHeight="1" x14ac:dyDescent="0.3">
      <c r="A143" s="680"/>
      <c r="B143" s="2452"/>
      <c r="C143" s="607" t="str">
        <f t="shared" ref="C143:C149" si="32">C130</f>
        <v>Hluk</v>
      </c>
      <c r="D143" s="608">
        <f t="shared" ref="D143:D150" si="33">SUM(E143:S143,E155:S155)</f>
        <v>126074.66950356771</v>
      </c>
      <c r="E143" s="818">
        <f>(E74+E82+E90+E96-E5-E13-E21-E27)+('Vstupy z HDM-4 a EXNAD'!G8-'Vstupy z HDM-4 a EXNAD'!L8)/'12 Ekonomická analýza (ERR)'!F21*1000000*E524</f>
        <v>0</v>
      </c>
      <c r="F143" s="732">
        <f>(F74+F82+F90+F96-F5-F13-F21-F27)+('Vstupy z HDM-4 a EXNAD'!G9-'Vstupy z HDM-4 a EXNAD'!L9)/'12 Ekonomická analýza (ERR)'!G21*1000000*F524</f>
        <v>0</v>
      </c>
      <c r="G143" s="732">
        <f>(G74+G82+G90+G96-G5-G13-G21-G27)+('Vstupy z HDM-4 a EXNAD'!G10-'Vstupy z HDM-4 a EXNAD'!L10)/'12 Ekonomická analýza (ERR)'!H21*1000000*G524</f>
        <v>126074.66950356771</v>
      </c>
      <c r="H143" s="732">
        <f>(H74+H82+H90+H96-H5-H13-H21-H27)+('Vstupy z HDM-4 a EXNAD'!G11-'Vstupy z HDM-4 a EXNAD'!L11)/'12 Ekonomická analýza (ERR)'!I21*1000000*H524</f>
        <v>0</v>
      </c>
      <c r="I143" s="732">
        <f>(I74+I82+I90+I96-I5-I13-I21-I27)+('Vstupy z HDM-4 a EXNAD'!G12-'Vstupy z HDM-4 a EXNAD'!L12)/'12 Ekonomická analýza (ERR)'!J21*1000000*I524</f>
        <v>0</v>
      </c>
      <c r="J143" s="732">
        <f>(J74+J82+J90+J96-J5-J13-J21-J27)+('Vstupy z HDM-4 a EXNAD'!G13-'Vstupy z HDM-4 a EXNAD'!L13)/'12 Ekonomická analýza (ERR)'!K21*1000000*J524</f>
        <v>0</v>
      </c>
      <c r="K143" s="732">
        <f>(K74+K82+K90+K96-K5-K13-K21-K27)+('Vstupy z HDM-4 a EXNAD'!G14-'Vstupy z HDM-4 a EXNAD'!L14)/'12 Ekonomická analýza (ERR)'!L21*1000000*K524</f>
        <v>0</v>
      </c>
      <c r="L143" s="732">
        <f>(L74+L82+L90+L96-L5-L13-L21-L27)+('Vstupy z HDM-4 a EXNAD'!G15-'Vstupy z HDM-4 a EXNAD'!L15)/'12 Ekonomická analýza (ERR)'!M21*1000000*L524</f>
        <v>0</v>
      </c>
      <c r="M143" s="732">
        <f>(M74+M82+M90+M96-M5-M13-M21-M27)+('Vstupy z HDM-4 a EXNAD'!G16-'Vstupy z HDM-4 a EXNAD'!L16)/'12 Ekonomická analýza (ERR)'!N21*1000000*M524</f>
        <v>0</v>
      </c>
      <c r="N143" s="732">
        <f>(N74+N82+N90+N96-N5-N13-N21-N27)+('Vstupy z HDM-4 a EXNAD'!G17-'Vstupy z HDM-4 a EXNAD'!L17)/'12 Ekonomická analýza (ERR)'!O21*1000000*N524</f>
        <v>0</v>
      </c>
      <c r="O143" s="732">
        <f>(O74+O82+O90+O96-O5-O13-O21-O27)+('Vstupy z HDM-4 a EXNAD'!G18-'Vstupy z HDM-4 a EXNAD'!L18)/'12 Ekonomická analýza (ERR)'!P21*1000000*O524</f>
        <v>0</v>
      </c>
      <c r="P143" s="732">
        <f>(P74+P82+P90+P96-P5-P13-P21-P27)+('Vstupy z HDM-4 a EXNAD'!G19-'Vstupy z HDM-4 a EXNAD'!L19)/'12 Ekonomická analýza (ERR)'!Q21*1000000*P524</f>
        <v>0</v>
      </c>
      <c r="Q143" s="732">
        <f>(Q74+Q82+Q90+Q96-Q5-Q13-Q21-Q27)+('Vstupy z HDM-4 a EXNAD'!G20-'Vstupy z HDM-4 a EXNAD'!L20)/'12 Ekonomická analýza (ERR)'!R21*1000000*Q524</f>
        <v>0</v>
      </c>
      <c r="R143" s="732">
        <f>(R74+R82+R90+R96-R5-R13-R21-R27)+('Vstupy z HDM-4 a EXNAD'!G21-'Vstupy z HDM-4 a EXNAD'!L21)/'12 Ekonomická analýza (ERR)'!S21*1000000*R524</f>
        <v>0</v>
      </c>
      <c r="S143" s="733">
        <f>(S74+S82+S90+S96-S5-S13-S21-S27)+('Vstupy z HDM-4 a EXNAD'!G22-'Vstupy z HDM-4 a EXNAD'!L22)/'12 Ekonomická analýza (ERR)'!T21*1000000*S524</f>
        <v>0</v>
      </c>
      <c r="T143" s="590"/>
      <c r="U143" s="590"/>
      <c r="V143" s="590"/>
      <c r="W143" s="590"/>
      <c r="X143" s="590"/>
      <c r="Y143" s="590"/>
      <c r="Z143" s="590"/>
      <c r="AA143" s="590"/>
      <c r="AB143" s="590"/>
      <c r="AC143" s="590"/>
    </row>
    <row r="144" spans="1:29" ht="12.75" customHeight="1" x14ac:dyDescent="0.3">
      <c r="A144" s="680"/>
      <c r="B144" s="2452"/>
      <c r="C144" s="607" t="str">
        <f t="shared" si="32"/>
        <v>Znečištění ovzduší</v>
      </c>
      <c r="D144" s="608">
        <f t="shared" si="33"/>
        <v>3920.8738107867248</v>
      </c>
      <c r="E144" s="818">
        <f>(E75+E83+E97-E6-E14-E28)+(('Vstupy z HDM-4 a EXNAD'!$R8-'Vstupy z HDM-4 a EXNAD'!$X8)*$E$220+('Vstupy z HDM-4 a EXNAD'!$Q8-'Vstupy z HDM-4 a EXNAD'!$W8)*$F$220+('Vstupy z HDM-4 a EXNAD'!$S8-'Vstupy z HDM-4 a EXNAD'!$Y8)*$G$220+('Vstupy z HDM-4 a EXNAD'!$P8-'Vstupy z HDM-4 a EXNAD'!$V8)*AVERAGE($H$220,$H$221,$H$222)+('Vstupy z HDM-4 a EXNAD'!$O8-'Vstupy z HDM-4 a EXNAD'!$U8)*AVERAGE($I$220,$I$221,$I$222))*(1+'0 Úvod'!$N$57*$D$524)^('0 Úvod'!$D$18-$D$219)*E524</f>
        <v>0</v>
      </c>
      <c r="F144" s="732">
        <f>(F75+F83+F97-F6-F14-F28)+(('Vstupy z HDM-4 a EXNAD'!$R9-'Vstupy z HDM-4 a EXNAD'!$X9)*$E$220+('Vstupy z HDM-4 a EXNAD'!$Q9-'Vstupy z HDM-4 a EXNAD'!$W9)*$F$220+('Vstupy z HDM-4 a EXNAD'!$S9-'Vstupy z HDM-4 a EXNAD'!$Y9)*$G$220+('Vstupy z HDM-4 a EXNAD'!$P9-'Vstupy z HDM-4 a EXNAD'!$V9)*AVERAGE($H$220,$H$221,$H$222)+('Vstupy z HDM-4 a EXNAD'!$O9-'Vstupy z HDM-4 a EXNAD'!$U9)*AVERAGE($I$220,$I$221,$I$222))*(1+'0 Úvod'!$N$57*$D$524)^('0 Úvod'!$D$18-$D$219)*F524</f>
        <v>0</v>
      </c>
      <c r="G144" s="732">
        <f>(G75+G83+G97-G6-G14-G28)+(('Vstupy z HDM-4 a EXNAD'!$R10-'Vstupy z HDM-4 a EXNAD'!$X10)*$E$220+('Vstupy z HDM-4 a EXNAD'!$Q10-'Vstupy z HDM-4 a EXNAD'!$W10)*$F$220+('Vstupy z HDM-4 a EXNAD'!$S10-'Vstupy z HDM-4 a EXNAD'!$Y10)*$G$220+('Vstupy z HDM-4 a EXNAD'!$P10-'Vstupy z HDM-4 a EXNAD'!$V10)*AVERAGE($H$220,$H$221,$H$222)+('Vstupy z HDM-4 a EXNAD'!$O10-'Vstupy z HDM-4 a EXNAD'!$U10)*AVERAGE($I$220,$I$221,$I$222))*(1+'0 Úvod'!$N$57*$D$524)^('0 Úvod'!$D$18-$D$219)*G524</f>
        <v>3920.8738107867248</v>
      </c>
      <c r="H144" s="732">
        <f>(H75+H83+H97-H6-H14-H28)+(('Vstupy z HDM-4 a EXNAD'!$R11-'Vstupy z HDM-4 a EXNAD'!$X11)*$E$220+('Vstupy z HDM-4 a EXNAD'!$Q11-'Vstupy z HDM-4 a EXNAD'!$W11)*$F$220+('Vstupy z HDM-4 a EXNAD'!$S11-'Vstupy z HDM-4 a EXNAD'!$Y11)*$G$220+('Vstupy z HDM-4 a EXNAD'!$P11-'Vstupy z HDM-4 a EXNAD'!$V11)*AVERAGE($H$220,$H$221,$H$222)+('Vstupy z HDM-4 a EXNAD'!$O11-'Vstupy z HDM-4 a EXNAD'!$U11)*AVERAGE($I$220,$I$221,$I$222))*(1+'0 Úvod'!$N$57*$D$524)^('0 Úvod'!$D$18-$D$219)*H524</f>
        <v>0</v>
      </c>
      <c r="I144" s="732">
        <f>(I75+I83+I97-I6-I14-I28)+(('Vstupy z HDM-4 a EXNAD'!$R12-'Vstupy z HDM-4 a EXNAD'!$X12)*$E$220+('Vstupy z HDM-4 a EXNAD'!$Q12-'Vstupy z HDM-4 a EXNAD'!$W12)*$F$220+('Vstupy z HDM-4 a EXNAD'!$S12-'Vstupy z HDM-4 a EXNAD'!$Y12)*$G$220+('Vstupy z HDM-4 a EXNAD'!$P12-'Vstupy z HDM-4 a EXNAD'!$V12)*AVERAGE($H$220,$H$221,$H$222)+('Vstupy z HDM-4 a EXNAD'!$O12-'Vstupy z HDM-4 a EXNAD'!$U12)*AVERAGE($I$220,$I$221,$I$222))*(1+'0 Úvod'!$N$57*$D$524)^('0 Úvod'!$D$18-$D$219)*I524</f>
        <v>0</v>
      </c>
      <c r="J144" s="732">
        <f>(J75+J83+J97-J6-J14-J28)+(('Vstupy z HDM-4 a EXNAD'!$R13-'Vstupy z HDM-4 a EXNAD'!$X13)*$E$220+('Vstupy z HDM-4 a EXNAD'!$Q13-'Vstupy z HDM-4 a EXNAD'!$W13)*$F$220+('Vstupy z HDM-4 a EXNAD'!$S13-'Vstupy z HDM-4 a EXNAD'!$Y13)*$G$220+('Vstupy z HDM-4 a EXNAD'!$P13-'Vstupy z HDM-4 a EXNAD'!$V13)*AVERAGE($H$220,$H$221,$H$222)+('Vstupy z HDM-4 a EXNAD'!$O13-'Vstupy z HDM-4 a EXNAD'!$U13)*AVERAGE($I$220,$I$221,$I$222))*(1+'0 Úvod'!$N$57*$D$524)^('0 Úvod'!$D$18-$D$219)*J524</f>
        <v>0</v>
      </c>
      <c r="K144" s="732">
        <f>(K75+K83+K97-K6-K14-K28)+(('Vstupy z HDM-4 a EXNAD'!$R14-'Vstupy z HDM-4 a EXNAD'!$X14)*$E$220+('Vstupy z HDM-4 a EXNAD'!$Q14-'Vstupy z HDM-4 a EXNAD'!$W14)*$F$220+('Vstupy z HDM-4 a EXNAD'!$S14-'Vstupy z HDM-4 a EXNAD'!$Y14)*$G$220+('Vstupy z HDM-4 a EXNAD'!$P14-'Vstupy z HDM-4 a EXNAD'!$V14)*AVERAGE($H$220,$H$221,$H$222)+('Vstupy z HDM-4 a EXNAD'!$O14-'Vstupy z HDM-4 a EXNAD'!$U14)*AVERAGE($I$220,$I$221,$I$222))*(1+'0 Úvod'!$N$57*$D$524)^('0 Úvod'!$D$18-$D$219)*K524</f>
        <v>0</v>
      </c>
      <c r="L144" s="732">
        <f>(L75+L83+L97-L6-L14-L28)+(('Vstupy z HDM-4 a EXNAD'!$R15-'Vstupy z HDM-4 a EXNAD'!$X15)*$E$220+('Vstupy z HDM-4 a EXNAD'!$Q15-'Vstupy z HDM-4 a EXNAD'!$W15)*$F$220+('Vstupy z HDM-4 a EXNAD'!$S15-'Vstupy z HDM-4 a EXNAD'!$Y15)*$G$220+('Vstupy z HDM-4 a EXNAD'!$P15-'Vstupy z HDM-4 a EXNAD'!$V15)*AVERAGE($H$220,$H$221,$H$222)+('Vstupy z HDM-4 a EXNAD'!$O15-'Vstupy z HDM-4 a EXNAD'!$U15)*AVERAGE($I$220,$I$221,$I$222))*(1+'0 Úvod'!$N$57*$D$524)^('0 Úvod'!$D$18-$D$219)*L524</f>
        <v>0</v>
      </c>
      <c r="M144" s="732">
        <f>(M75+M83+M97-M6-M14-M28)+(('Vstupy z HDM-4 a EXNAD'!$R16-'Vstupy z HDM-4 a EXNAD'!$X16)*$E$220+('Vstupy z HDM-4 a EXNAD'!$Q16-'Vstupy z HDM-4 a EXNAD'!$W16)*$F$220+('Vstupy z HDM-4 a EXNAD'!$S16-'Vstupy z HDM-4 a EXNAD'!$Y16)*$G$220+('Vstupy z HDM-4 a EXNAD'!$P16-'Vstupy z HDM-4 a EXNAD'!$V16)*AVERAGE($H$220,$H$221,$H$222)+('Vstupy z HDM-4 a EXNAD'!$O16-'Vstupy z HDM-4 a EXNAD'!$U16)*AVERAGE($I$220,$I$221,$I$222))*(1+'0 Úvod'!$N$57*$D$524)^('0 Úvod'!$D$18-$D$219)*M524</f>
        <v>0</v>
      </c>
      <c r="N144" s="732">
        <f>(N75+N83+N97-N6-N14-N28)+(('Vstupy z HDM-4 a EXNAD'!$R17-'Vstupy z HDM-4 a EXNAD'!$X17)*$E$220+('Vstupy z HDM-4 a EXNAD'!$Q17-'Vstupy z HDM-4 a EXNAD'!$W17)*$F$220+('Vstupy z HDM-4 a EXNAD'!$S17-'Vstupy z HDM-4 a EXNAD'!$Y17)*$G$220+('Vstupy z HDM-4 a EXNAD'!$P17-'Vstupy z HDM-4 a EXNAD'!$V17)*AVERAGE($H$220,$H$221,$H$222)+('Vstupy z HDM-4 a EXNAD'!$O17-'Vstupy z HDM-4 a EXNAD'!$U17)*AVERAGE($I$220,$I$221,$I$222))*(1+'0 Úvod'!$N$57*$D$524)^('0 Úvod'!$D$18-$D$219)*N524</f>
        <v>0</v>
      </c>
      <c r="O144" s="732">
        <f>(O75+O83+O97-O6-O14-O28)+(('Vstupy z HDM-4 a EXNAD'!$R18-'Vstupy z HDM-4 a EXNAD'!$X18)*$E$220+('Vstupy z HDM-4 a EXNAD'!$Q18-'Vstupy z HDM-4 a EXNAD'!$W18)*$F$220+('Vstupy z HDM-4 a EXNAD'!$S18-'Vstupy z HDM-4 a EXNAD'!$Y18)*$G$220+('Vstupy z HDM-4 a EXNAD'!$P18-'Vstupy z HDM-4 a EXNAD'!$V18)*AVERAGE($H$220,$H$221,$H$222)+('Vstupy z HDM-4 a EXNAD'!$O18-'Vstupy z HDM-4 a EXNAD'!$U18)*AVERAGE($I$220,$I$221,$I$222))*(1+'0 Úvod'!$N$57*$D$524)^('0 Úvod'!$D$18-$D$219)*O524</f>
        <v>0</v>
      </c>
      <c r="P144" s="732">
        <f>(P75+P83+P97-P6-P14-P28)+(('Vstupy z HDM-4 a EXNAD'!$R19-'Vstupy z HDM-4 a EXNAD'!$X19)*$E$220+('Vstupy z HDM-4 a EXNAD'!$Q19-'Vstupy z HDM-4 a EXNAD'!$W19)*$F$220+('Vstupy z HDM-4 a EXNAD'!$S19-'Vstupy z HDM-4 a EXNAD'!$Y19)*$G$220+('Vstupy z HDM-4 a EXNAD'!$P19-'Vstupy z HDM-4 a EXNAD'!$V19)*AVERAGE($H$220,$H$221,$H$222)+('Vstupy z HDM-4 a EXNAD'!$O19-'Vstupy z HDM-4 a EXNAD'!$U19)*AVERAGE($I$220,$I$221,$I$222))*(1+'0 Úvod'!$N$57*$D$524)^('0 Úvod'!$D$18-$D$219)*P524</f>
        <v>0</v>
      </c>
      <c r="Q144" s="732">
        <f>(Q75+Q83+Q97-Q6-Q14-Q28)+(('Vstupy z HDM-4 a EXNAD'!$R20-'Vstupy z HDM-4 a EXNAD'!$X20)*$E$220+('Vstupy z HDM-4 a EXNAD'!$Q20-'Vstupy z HDM-4 a EXNAD'!$W20)*$F$220+('Vstupy z HDM-4 a EXNAD'!$S20-'Vstupy z HDM-4 a EXNAD'!$Y20)*$G$220+('Vstupy z HDM-4 a EXNAD'!$P20-'Vstupy z HDM-4 a EXNAD'!$V20)*AVERAGE($H$220,$H$221,$H$222)+('Vstupy z HDM-4 a EXNAD'!$O20-'Vstupy z HDM-4 a EXNAD'!$U20)*AVERAGE($I$220,$I$221,$I$222))*(1+'0 Úvod'!$N$57*$D$524)^('0 Úvod'!$D$18-$D$219)*Q524</f>
        <v>0</v>
      </c>
      <c r="R144" s="732">
        <f>(R75+R83+R97-R6-R14-R28)+(('Vstupy z HDM-4 a EXNAD'!$R21-'Vstupy z HDM-4 a EXNAD'!$X21)*$E$220+('Vstupy z HDM-4 a EXNAD'!$Q21-'Vstupy z HDM-4 a EXNAD'!$W21)*$F$220+('Vstupy z HDM-4 a EXNAD'!$S21-'Vstupy z HDM-4 a EXNAD'!$Y21)*$G$220+('Vstupy z HDM-4 a EXNAD'!$P21-'Vstupy z HDM-4 a EXNAD'!$V21)*AVERAGE($H$220,$H$221,$H$222)+('Vstupy z HDM-4 a EXNAD'!$O21-'Vstupy z HDM-4 a EXNAD'!$U21)*AVERAGE($I$220,$I$221,$I$222))*(1+'0 Úvod'!$N$57*$D$524)^('0 Úvod'!$D$18-$D$219)*R524</f>
        <v>0</v>
      </c>
      <c r="S144" s="733">
        <f>(S75+S83+S97-S6-S14-S28)+(('Vstupy z HDM-4 a EXNAD'!$R22-'Vstupy z HDM-4 a EXNAD'!$X22)*$E$220+('Vstupy z HDM-4 a EXNAD'!$Q22-'Vstupy z HDM-4 a EXNAD'!$W22)*$F$220+('Vstupy z HDM-4 a EXNAD'!$S22-'Vstupy z HDM-4 a EXNAD'!$Y22)*$G$220+('Vstupy z HDM-4 a EXNAD'!$P22-'Vstupy z HDM-4 a EXNAD'!$V22)*AVERAGE($H$220,$H$221,$H$222)+('Vstupy z HDM-4 a EXNAD'!$O22-'Vstupy z HDM-4 a EXNAD'!$U22)*AVERAGE($I$220,$I$221,$I$222))*(1+'0 Úvod'!$N$57*$D$524)^('0 Úvod'!$D$18-$D$219)*S524</f>
        <v>0</v>
      </c>
      <c r="T144" s="590"/>
      <c r="U144" s="590"/>
      <c r="V144" s="590"/>
      <c r="W144" s="590"/>
      <c r="X144" s="590"/>
      <c r="Y144" s="590"/>
      <c r="Z144" s="590"/>
      <c r="AA144" s="590"/>
      <c r="AB144" s="590"/>
      <c r="AC144" s="590"/>
    </row>
    <row r="145" spans="1:29" ht="12.75" customHeight="1" x14ac:dyDescent="0.3">
      <c r="A145" s="680"/>
      <c r="B145" s="2453"/>
      <c r="C145" s="613" t="str">
        <f t="shared" si="32"/>
        <v>Klimatické změny</v>
      </c>
      <c r="D145" s="614">
        <f t="shared" si="33"/>
        <v>481.88171202317335</v>
      </c>
      <c r="E145" s="1772">
        <f>(E76+E84+E98-E7-E15-E29)+('Vstupy z HDM-4 a EXNAD'!T8-'Vstupy z HDM-4 a EXNAD'!Z8)*$D$220*(1+'0 Úvod'!$N$57*$D$524)^('0 Úvod'!$D$18-$D$219)*E524</f>
        <v>0</v>
      </c>
      <c r="F145" s="1179">
        <f>(F76+F84+F98-F7-F15-F29)+('Vstupy z HDM-4 a EXNAD'!T9-'Vstupy z HDM-4 a EXNAD'!Z9)*$D$220*(1+'0 Úvod'!$N$57*$D$524)^('0 Úvod'!$D$18-$D$219)*F524</f>
        <v>0</v>
      </c>
      <c r="G145" s="1179">
        <f>(G76+G84+G98-G7-G15-G29)+('Vstupy z HDM-4 a EXNAD'!T10-'Vstupy z HDM-4 a EXNAD'!Z10)*$D$220*(1+'0 Úvod'!$N$57*$D$524)^('0 Úvod'!$D$18-$D$219)*G524</f>
        <v>481.88171202317335</v>
      </c>
      <c r="H145" s="1179">
        <f>(H76+H84+H98-H7-H15-H29)+('Vstupy z HDM-4 a EXNAD'!T11-'Vstupy z HDM-4 a EXNAD'!Z11)*$D$220*(1+'0 Úvod'!$N$57*$D$524)^('0 Úvod'!$D$18-$D$219)*H524</f>
        <v>0</v>
      </c>
      <c r="I145" s="1179">
        <f>(I76+I84+I98-I7-I15-I29)+('Vstupy z HDM-4 a EXNAD'!T12-'Vstupy z HDM-4 a EXNAD'!Z12)*$D$220*(1+'0 Úvod'!$N$57*$D$524)^('0 Úvod'!$D$18-$D$219)*I524</f>
        <v>0</v>
      </c>
      <c r="J145" s="1179">
        <f>(J76+J84+J98-J7-J15-J29)+('Vstupy z HDM-4 a EXNAD'!T13-'Vstupy z HDM-4 a EXNAD'!Z13)*$D$220*(1+'0 Úvod'!$N$57*$D$524)^('0 Úvod'!$D$18-$D$219)*J524</f>
        <v>0</v>
      </c>
      <c r="K145" s="1179">
        <f>(K76+K84+K98-K7-K15-K29)+('Vstupy z HDM-4 a EXNAD'!T14-'Vstupy z HDM-4 a EXNAD'!Z14)*$D$220*(1+'0 Úvod'!$N$57*$D$524)^('0 Úvod'!$D$18-$D$219)*K524</f>
        <v>0</v>
      </c>
      <c r="L145" s="1179">
        <f>(L76+L84+L98-L7-L15-L29)+('Vstupy z HDM-4 a EXNAD'!T15-'Vstupy z HDM-4 a EXNAD'!Z15)*$D$220*(1+'0 Úvod'!$N$57*$D$524)^('0 Úvod'!$D$18-$D$219)*L524</f>
        <v>0</v>
      </c>
      <c r="M145" s="1179">
        <f>(M76+M84+M98-M7-M15-M29)+('Vstupy z HDM-4 a EXNAD'!T16-'Vstupy z HDM-4 a EXNAD'!Z16)*$D$220*(1+'0 Úvod'!$N$57*$D$524)^('0 Úvod'!$D$18-$D$219)*M524</f>
        <v>0</v>
      </c>
      <c r="N145" s="1179">
        <f>(N76+N84+N98-N7-N15-N29)+('Vstupy z HDM-4 a EXNAD'!T17-'Vstupy z HDM-4 a EXNAD'!Z17)*$D$220*(1+'0 Úvod'!$N$57*$D$524)^('0 Úvod'!$D$18-$D$219)*N524</f>
        <v>0</v>
      </c>
      <c r="O145" s="1179">
        <f>(O76+O84+O98-O7-O15-O29)+('Vstupy z HDM-4 a EXNAD'!T18-'Vstupy z HDM-4 a EXNAD'!Z18)*$D$220*(1+'0 Úvod'!$N$57*$D$524)^('0 Úvod'!$D$18-$D$219)*O524</f>
        <v>0</v>
      </c>
      <c r="P145" s="1179">
        <f>(P76+P84+P98-P7-P15-P29)+('Vstupy z HDM-4 a EXNAD'!T19-'Vstupy z HDM-4 a EXNAD'!Z19)*$D$220*(1+'0 Úvod'!$N$57*$D$524)^('0 Úvod'!$D$18-$D$219)*P524</f>
        <v>0</v>
      </c>
      <c r="Q145" s="1179">
        <f>(Q76+Q84+Q98-Q7-Q15-Q29)+('Vstupy z HDM-4 a EXNAD'!T20-'Vstupy z HDM-4 a EXNAD'!Z20)*$D$220*(1+'0 Úvod'!$N$57*$D$524)^('0 Úvod'!$D$18-$D$219)*Q524</f>
        <v>0</v>
      </c>
      <c r="R145" s="1179">
        <f>(R76+R84+R98-R7-R15-R29)+('Vstupy z HDM-4 a EXNAD'!T21-'Vstupy z HDM-4 a EXNAD'!Z21)*$D$220*(1+'0 Úvod'!$N$57*$D$524)^('0 Úvod'!$D$18-$D$219)*R524</f>
        <v>0</v>
      </c>
      <c r="S145" s="1180">
        <f>(S76+S84+S98-S7-S15-S29)+('Vstupy z HDM-4 a EXNAD'!T22-'Vstupy z HDM-4 a EXNAD'!Z22)*$D$220*(1+'0 Úvod'!$N$57*$D$524)^('0 Úvod'!$D$18-$D$219)*S524</f>
        <v>0</v>
      </c>
      <c r="T145" s="590"/>
      <c r="U145" s="590"/>
      <c r="V145" s="590"/>
      <c r="W145" s="590"/>
      <c r="X145" s="590"/>
      <c r="Y145" s="590"/>
      <c r="Z145" s="590"/>
      <c r="AA145" s="590"/>
      <c r="AB145" s="590"/>
      <c r="AC145" s="590"/>
    </row>
    <row r="146" spans="1:29" s="1145" customFormat="1" ht="12.75" customHeight="1" x14ac:dyDescent="0.3">
      <c r="A146" s="1149"/>
      <c r="B146" s="2454" t="str">
        <f>IF('0 Úvod'!$M$10="English",Slovnik!$D$286,Slovnik!$C$286)</f>
        <v>Nákladní</v>
      </c>
      <c r="C146" s="1146" t="str">
        <f t="shared" si="32"/>
        <v>Nehody</v>
      </c>
      <c r="D146" s="1153">
        <f t="shared" si="33"/>
        <v>118722568.96521644</v>
      </c>
      <c r="E146" s="1181">
        <f t="shared" ref="E146:S146" si="34">E77+E85+E91+E99-E8-E16-E22-E30</f>
        <v>0</v>
      </c>
      <c r="F146" s="1182">
        <f t="shared" si="34"/>
        <v>0</v>
      </c>
      <c r="G146" s="1182">
        <f t="shared" si="34"/>
        <v>0</v>
      </c>
      <c r="H146" s="1182">
        <f t="shared" si="34"/>
        <v>0</v>
      </c>
      <c r="I146" s="1182">
        <f t="shared" si="34"/>
        <v>0</v>
      </c>
      <c r="J146" s="1182">
        <f t="shared" si="34"/>
        <v>3874136.4769909624</v>
      </c>
      <c r="K146" s="1182">
        <f t="shared" si="34"/>
        <v>3938137.2115908535</v>
      </c>
      <c r="L146" s="1182">
        <f t="shared" si="34"/>
        <v>4003195.2383263339</v>
      </c>
      <c r="M146" s="1182">
        <f t="shared" si="34"/>
        <v>4069328.0236634854</v>
      </c>
      <c r="N146" s="1182">
        <f t="shared" si="34"/>
        <v>4136553.3226144072</v>
      </c>
      <c r="O146" s="1182">
        <f t="shared" si="34"/>
        <v>4204889.1835039975</v>
      </c>
      <c r="P146" s="1182">
        <f t="shared" si="34"/>
        <v>4274353.9528154843</v>
      </c>
      <c r="Q146" s="1182">
        <f t="shared" si="34"/>
        <v>4344966.2801159956</v>
      </c>
      <c r="R146" s="1182">
        <f t="shared" si="34"/>
        <v>4416745.1230635121</v>
      </c>
      <c r="S146" s="1183">
        <f t="shared" si="34"/>
        <v>4489709.7524965219</v>
      </c>
      <c r="T146" s="1144"/>
      <c r="U146" s="1144"/>
      <c r="V146" s="1144"/>
      <c r="W146" s="1144"/>
      <c r="X146" s="1144"/>
      <c r="Y146" s="1144"/>
      <c r="Z146" s="1144"/>
      <c r="AA146" s="1144"/>
      <c r="AB146" s="1144"/>
      <c r="AC146" s="1144"/>
    </row>
    <row r="147" spans="1:29" s="1145" customFormat="1" ht="12.75" customHeight="1" x14ac:dyDescent="0.3">
      <c r="A147" s="1149"/>
      <c r="B147" s="2455"/>
      <c r="C147" s="1146" t="str">
        <f t="shared" si="32"/>
        <v>Hluk</v>
      </c>
      <c r="D147" s="1153">
        <f t="shared" si="33"/>
        <v>11219174.08857231</v>
      </c>
      <c r="E147" s="1181">
        <f t="shared" ref="E147:S147" si="35">E78+E86+E92+E100-E9-E17-E23-E31</f>
        <v>0</v>
      </c>
      <c r="F147" s="1182">
        <f t="shared" si="35"/>
        <v>0</v>
      </c>
      <c r="G147" s="1182">
        <f t="shared" si="35"/>
        <v>0</v>
      </c>
      <c r="H147" s="1182">
        <f t="shared" si="35"/>
        <v>0</v>
      </c>
      <c r="I147" s="1182">
        <f t="shared" si="35"/>
        <v>0</v>
      </c>
      <c r="J147" s="1182">
        <f t="shared" si="35"/>
        <v>366102.35069108184</v>
      </c>
      <c r="K147" s="1182">
        <f t="shared" si="35"/>
        <v>372150.36152449856</v>
      </c>
      <c r="L147" s="1182">
        <f t="shared" si="35"/>
        <v>378298.28549688333</v>
      </c>
      <c r="M147" s="1182">
        <f t="shared" si="35"/>
        <v>384547.77317329182</v>
      </c>
      <c r="N147" s="1182">
        <f t="shared" si="35"/>
        <v>390900.50238611473</v>
      </c>
      <c r="O147" s="1182">
        <f t="shared" si="35"/>
        <v>397358.17868553341</v>
      </c>
      <c r="P147" s="1182">
        <f t="shared" si="35"/>
        <v>403922.53579741833</v>
      </c>
      <c r="Q147" s="1182">
        <f t="shared" si="35"/>
        <v>410595.3360887919</v>
      </c>
      <c r="R147" s="1182">
        <f t="shared" si="35"/>
        <v>417378.37104097876</v>
      </c>
      <c r="S147" s="1183">
        <f t="shared" si="35"/>
        <v>424273.46173057577</v>
      </c>
      <c r="T147" s="1144"/>
      <c r="U147" s="1144"/>
      <c r="V147" s="1144"/>
      <c r="W147" s="1144"/>
      <c r="X147" s="1144"/>
      <c r="Y147" s="1144"/>
      <c r="Z147" s="1144"/>
      <c r="AA147" s="1144"/>
      <c r="AB147" s="1144"/>
      <c r="AC147" s="1144"/>
    </row>
    <row r="148" spans="1:29" s="1145" customFormat="1" ht="12.75" customHeight="1" x14ac:dyDescent="0.3">
      <c r="A148" s="1149"/>
      <c r="B148" s="2455"/>
      <c r="C148" s="1146" t="str">
        <f t="shared" si="32"/>
        <v>Znečištění ovzduší</v>
      </c>
      <c r="D148" s="1153">
        <f t="shared" si="33"/>
        <v>3674519.6383845448</v>
      </c>
      <c r="E148" s="1181">
        <f t="shared" ref="E148:S148" si="36">E79+E87+E93+E101-E10-E18-E24-E32</f>
        <v>0</v>
      </c>
      <c r="F148" s="1182">
        <f t="shared" si="36"/>
        <v>0</v>
      </c>
      <c r="G148" s="1182">
        <f t="shared" si="36"/>
        <v>0</v>
      </c>
      <c r="H148" s="1182">
        <f t="shared" si="36"/>
        <v>0</v>
      </c>
      <c r="I148" s="1182">
        <f t="shared" si="36"/>
        <v>0</v>
      </c>
      <c r="J148" s="1182">
        <f t="shared" si="36"/>
        <v>119906.35555280122</v>
      </c>
      <c r="K148" s="1182">
        <f t="shared" si="36"/>
        <v>121887.2085465335</v>
      </c>
      <c r="L148" s="1182">
        <f t="shared" si="36"/>
        <v>123900.78523172224</v>
      </c>
      <c r="M148" s="1182">
        <f t="shared" si="36"/>
        <v>125947.6262037503</v>
      </c>
      <c r="N148" s="1182">
        <f t="shared" si="36"/>
        <v>128028.28098863625</v>
      </c>
      <c r="O148" s="1182">
        <f t="shared" si="36"/>
        <v>130143.30819056855</v>
      </c>
      <c r="P148" s="1182">
        <f t="shared" si="36"/>
        <v>132293.27564187677</v>
      </c>
      <c r="Q148" s="1182">
        <f t="shared" si="36"/>
        <v>134478.76055548058</v>
      </c>
      <c r="R148" s="1182">
        <f t="shared" si="36"/>
        <v>136700.34967985714</v>
      </c>
      <c r="S148" s="1183">
        <f t="shared" si="36"/>
        <v>138958.63945656837</v>
      </c>
      <c r="T148" s="1144"/>
      <c r="U148" s="1144"/>
      <c r="V148" s="1144"/>
      <c r="W148" s="1144"/>
      <c r="X148" s="1144"/>
      <c r="Y148" s="1144"/>
      <c r="Z148" s="1144"/>
      <c r="AA148" s="1144"/>
      <c r="AB148" s="1144"/>
      <c r="AC148" s="1144"/>
    </row>
    <row r="149" spans="1:29" s="1145" customFormat="1" ht="12.75" customHeight="1" x14ac:dyDescent="0.3">
      <c r="A149" s="1149"/>
      <c r="B149" s="2456"/>
      <c r="C149" s="1146" t="str">
        <f t="shared" si="32"/>
        <v>Klimatické změny</v>
      </c>
      <c r="D149" s="1153">
        <f t="shared" si="33"/>
        <v>1973844.0366862423</v>
      </c>
      <c r="E149" s="1184">
        <f t="shared" ref="E149:S149" si="37">E80+E88+E94+E102-E11-E19-E25-E33</f>
        <v>0</v>
      </c>
      <c r="F149" s="1185">
        <f t="shared" si="37"/>
        <v>0</v>
      </c>
      <c r="G149" s="1185">
        <f t="shared" si="37"/>
        <v>0</v>
      </c>
      <c r="H149" s="1185">
        <f t="shared" si="37"/>
        <v>0</v>
      </c>
      <c r="I149" s="1185">
        <f t="shared" si="37"/>
        <v>0</v>
      </c>
      <c r="J149" s="1185">
        <f t="shared" si="37"/>
        <v>64410.172800907589</v>
      </c>
      <c r="K149" s="1185">
        <f t="shared" si="37"/>
        <v>65474.228855578593</v>
      </c>
      <c r="L149" s="1185">
        <f t="shared" si="37"/>
        <v>66555.86311627274</v>
      </c>
      <c r="M149" s="1185">
        <f t="shared" si="37"/>
        <v>67655.365974953587</v>
      </c>
      <c r="N149" s="1185">
        <f t="shared" si="37"/>
        <v>68773.032620859827</v>
      </c>
      <c r="O149" s="1185">
        <f t="shared" si="37"/>
        <v>69909.163119756442</v>
      </c>
      <c r="P149" s="1185">
        <f t="shared" si="37"/>
        <v>71064.062494494807</v>
      </c>
      <c r="Q149" s="1185">
        <f t="shared" si="37"/>
        <v>72238.040806903868</v>
      </c>
      <c r="R149" s="1185">
        <f t="shared" si="37"/>
        <v>73431.413241033937</v>
      </c>
      <c r="S149" s="1186">
        <f t="shared" si="37"/>
        <v>74644.500187775819</v>
      </c>
      <c r="T149" s="1144"/>
      <c r="U149" s="1144"/>
      <c r="V149" s="1144"/>
      <c r="W149" s="1144"/>
      <c r="X149" s="1144"/>
      <c r="Y149" s="1144"/>
      <c r="Z149" s="1144"/>
      <c r="AA149" s="1144"/>
      <c r="AB149" s="1144"/>
      <c r="AC149" s="1144"/>
    </row>
    <row r="150" spans="1:29" ht="12.75" customHeight="1" thickBot="1" x14ac:dyDescent="0.35">
      <c r="A150" s="666"/>
      <c r="B150" s="771"/>
      <c r="C150" s="1174" t="str">
        <f>IF('0 Úvod'!$M$10="English",Slovnik!$D$287,Slovnik!$C$287)</f>
        <v>Celkem externí efekty - úspory</v>
      </c>
      <c r="D150" s="654">
        <f t="shared" si="33"/>
        <v>137450748.0161761</v>
      </c>
      <c r="E150" s="882">
        <f>SUM(E142:E149)</f>
        <v>0</v>
      </c>
      <c r="F150" s="883">
        <f t="shared" ref="F150:S150" si="38">SUM(F142:F149)</f>
        <v>0</v>
      </c>
      <c r="G150" s="883">
        <f t="shared" si="38"/>
        <v>1860641.2873165603</v>
      </c>
      <c r="H150" s="883">
        <f t="shared" si="38"/>
        <v>0</v>
      </c>
      <c r="I150" s="883">
        <f t="shared" si="38"/>
        <v>0</v>
      </c>
      <c r="J150" s="883">
        <f t="shared" si="38"/>
        <v>4424555.3560357532</v>
      </c>
      <c r="K150" s="883">
        <f t="shared" si="38"/>
        <v>4497649.010517464</v>
      </c>
      <c r="L150" s="883">
        <f t="shared" si="38"/>
        <v>4571950.1721712127</v>
      </c>
      <c r="M150" s="883">
        <f t="shared" si="38"/>
        <v>4647478.7890154812</v>
      </c>
      <c r="N150" s="883">
        <f t="shared" si="38"/>
        <v>4724255.1386100184</v>
      </c>
      <c r="O150" s="883">
        <f t="shared" si="38"/>
        <v>4802299.8334998563</v>
      </c>
      <c r="P150" s="883">
        <f t="shared" si="38"/>
        <v>4881633.8267492745</v>
      </c>
      <c r="Q150" s="883">
        <f t="shared" si="38"/>
        <v>4962278.4175671712</v>
      </c>
      <c r="R150" s="883">
        <f t="shared" si="38"/>
        <v>5044255.2570253825</v>
      </c>
      <c r="S150" s="884">
        <f t="shared" si="38"/>
        <v>5127586.3538714424</v>
      </c>
      <c r="T150" s="679"/>
      <c r="U150" s="679"/>
      <c r="V150" s="679"/>
      <c r="W150" s="679"/>
      <c r="X150" s="679"/>
      <c r="Y150" s="679"/>
      <c r="Z150" s="679"/>
      <c r="AA150" s="679"/>
      <c r="AB150" s="679"/>
      <c r="AC150" s="679"/>
    </row>
    <row r="151" spans="1:29" ht="12.75" customHeight="1" thickBot="1" x14ac:dyDescent="0.35">
      <c r="A151" s="666"/>
      <c r="B151" s="671"/>
      <c r="C151" s="666"/>
      <c r="D151" s="590"/>
      <c r="E151" s="673"/>
      <c r="F151" s="673"/>
      <c r="G151" s="673"/>
      <c r="H151" s="673"/>
      <c r="I151" s="673"/>
      <c r="J151" s="673"/>
      <c r="K151" s="673"/>
      <c r="L151" s="673"/>
      <c r="M151" s="673"/>
      <c r="N151" s="673"/>
      <c r="O151" s="673"/>
      <c r="P151" s="673"/>
      <c r="Q151" s="673"/>
      <c r="R151" s="673"/>
      <c r="S151" s="673"/>
      <c r="T151" s="590"/>
      <c r="U151" s="590"/>
      <c r="V151" s="590"/>
      <c r="W151" s="590"/>
      <c r="X151" s="590"/>
      <c r="Y151" s="590"/>
      <c r="Z151" s="590"/>
      <c r="AA151" s="590"/>
      <c r="AB151" s="590"/>
      <c r="AC151" s="590"/>
    </row>
    <row r="152" spans="1:29" ht="12.75" customHeight="1" x14ac:dyDescent="0.3">
      <c r="A152" s="666"/>
      <c r="B152" s="645" t="s">
        <v>112</v>
      </c>
      <c r="C152" s="872" t="str">
        <f>C140</f>
        <v>Celkem externí efekty - úspory (CZK)</v>
      </c>
      <c r="D152" s="647"/>
      <c r="E152" s="2381">
        <f>S140+1</f>
        <v>2036</v>
      </c>
      <c r="F152" s="2377">
        <f t="shared" ref="F152:S152" si="39">E152+1</f>
        <v>2037</v>
      </c>
      <c r="G152" s="2377">
        <f t="shared" si="39"/>
        <v>2038</v>
      </c>
      <c r="H152" s="2377">
        <f t="shared" si="39"/>
        <v>2039</v>
      </c>
      <c r="I152" s="2377">
        <f t="shared" si="39"/>
        <v>2040</v>
      </c>
      <c r="J152" s="2377">
        <f t="shared" si="39"/>
        <v>2041</v>
      </c>
      <c r="K152" s="2377">
        <f t="shared" si="39"/>
        <v>2042</v>
      </c>
      <c r="L152" s="2377">
        <f t="shared" si="39"/>
        <v>2043</v>
      </c>
      <c r="M152" s="2377">
        <f t="shared" si="39"/>
        <v>2044</v>
      </c>
      <c r="N152" s="2377">
        <f t="shared" si="39"/>
        <v>2045</v>
      </c>
      <c r="O152" s="2377">
        <f t="shared" si="39"/>
        <v>2046</v>
      </c>
      <c r="P152" s="2377">
        <f t="shared" si="39"/>
        <v>2047</v>
      </c>
      <c r="Q152" s="2377">
        <f t="shared" si="39"/>
        <v>2048</v>
      </c>
      <c r="R152" s="2377">
        <f t="shared" si="39"/>
        <v>2049</v>
      </c>
      <c r="S152" s="2383">
        <f t="shared" si="39"/>
        <v>2050</v>
      </c>
      <c r="T152" s="669"/>
      <c r="U152" s="669"/>
      <c r="V152" s="669"/>
      <c r="W152" s="669"/>
      <c r="X152" s="669"/>
      <c r="Y152" s="669"/>
      <c r="Z152" s="669"/>
      <c r="AA152" s="669"/>
      <c r="AB152" s="669"/>
      <c r="AC152" s="669"/>
    </row>
    <row r="153" spans="1:29" ht="12.75" customHeight="1" thickBot="1" x14ac:dyDescent="0.35">
      <c r="A153" s="666"/>
      <c r="B153" s="699" t="s">
        <v>24</v>
      </c>
      <c r="C153" s="700"/>
      <c r="D153" s="1173"/>
      <c r="E153" s="2382">
        <f>S141+1</f>
        <v>1</v>
      </c>
      <c r="F153" s="2378"/>
      <c r="G153" s="2378"/>
      <c r="H153" s="2378"/>
      <c r="I153" s="2378"/>
      <c r="J153" s="2378"/>
      <c r="K153" s="2378"/>
      <c r="L153" s="2378"/>
      <c r="M153" s="2378"/>
      <c r="N153" s="2378"/>
      <c r="O153" s="2378"/>
      <c r="P153" s="2378"/>
      <c r="Q153" s="2378"/>
      <c r="R153" s="2378"/>
      <c r="S153" s="2384"/>
      <c r="T153" s="669"/>
      <c r="U153" s="669"/>
      <c r="V153" s="669"/>
      <c r="W153" s="669"/>
      <c r="X153" s="669"/>
      <c r="Y153" s="669"/>
      <c r="Z153" s="669"/>
      <c r="AA153" s="669"/>
      <c r="AB153" s="669"/>
      <c r="AC153" s="669"/>
    </row>
    <row r="154" spans="1:29" ht="12.75" customHeight="1" x14ac:dyDescent="0.3">
      <c r="A154" s="680"/>
      <c r="B154" s="2451" t="str">
        <f>B142</f>
        <v>Osobní</v>
      </c>
      <c r="C154" s="604" t="str">
        <f>C142</f>
        <v>Nehody</v>
      </c>
      <c r="D154" s="912"/>
      <c r="E154" s="1177">
        <f>(E107+E115+E123+E129-E38-E46-E54-E60)+('Vstupy z HDM-4 a EXNAD'!F23-'Vstupy z HDM-4 a EXNAD'!K23)/'12 Ekonomická analýza (ERR)'!F43*1000000*E529</f>
        <v>0</v>
      </c>
      <c r="F154" s="895">
        <f>(F107+F115+F123+F129-F38-F46-F54-F60)+('Vstupy z HDM-4 a EXNAD'!F24-'Vstupy z HDM-4 a EXNAD'!K24)/'12 Ekonomická analýza (ERR)'!G43*1000000*F529</f>
        <v>0</v>
      </c>
      <c r="G154" s="895">
        <f>(G107+G115+G123+G129-G38-G46-G54-G60)+('Vstupy z HDM-4 a EXNAD'!F25-'Vstupy z HDM-4 a EXNAD'!K25)/'12 Ekonomická analýza (ERR)'!H43*1000000*G529</f>
        <v>0</v>
      </c>
      <c r="H154" s="895">
        <f>(H107+H115+H123+H129-H38-H46-H54-H60)+('Vstupy z HDM-4 a EXNAD'!F26-'Vstupy z HDM-4 a EXNAD'!K26)/'12 Ekonomická analýza (ERR)'!I43*1000000*H529</f>
        <v>0</v>
      </c>
      <c r="I154" s="895">
        <f>(I107+I115+I123+I129-I38-I46-I54-I60)+('Vstupy z HDM-4 a EXNAD'!F27-'Vstupy z HDM-4 a EXNAD'!K27)/'12 Ekonomická analýza (ERR)'!J43*1000000*I529</f>
        <v>0</v>
      </c>
      <c r="J154" s="895">
        <f>(J107+J115+J123+J129-J38-J46-J54-J60)+('Vstupy z HDM-4 a EXNAD'!F28-'Vstupy z HDM-4 a EXNAD'!K28)/'12 Ekonomická analýza (ERR)'!K43*1000000*J529</f>
        <v>0</v>
      </c>
      <c r="K154" s="895">
        <f>(K107+K115+K123+K129-K38-K46-K54-K60)+('Vstupy z HDM-4 a EXNAD'!F29-'Vstupy z HDM-4 a EXNAD'!K29)/'12 Ekonomická analýza (ERR)'!L43*1000000*K529</f>
        <v>0</v>
      </c>
      <c r="L154" s="895">
        <f>(L107+L115+L123+L129-L38-L46-L54-L60)+('Vstupy z HDM-4 a EXNAD'!F30-'Vstupy z HDM-4 a EXNAD'!K30)/'12 Ekonomická analýza (ERR)'!M43*1000000*L529</f>
        <v>0</v>
      </c>
      <c r="M154" s="895">
        <f>(M107+M115+M123+M129-M38-M46-M54-M60)+('Vstupy z HDM-4 a EXNAD'!F31-'Vstupy z HDM-4 a EXNAD'!K31)/'12 Ekonomická analýza (ERR)'!N43*1000000*M529</f>
        <v>0</v>
      </c>
      <c r="N154" s="895">
        <f>(N107+N115+N123+N129-N38-N46-N54-N60)+('Vstupy z HDM-4 a EXNAD'!F32-'Vstupy z HDM-4 a EXNAD'!K32)/'12 Ekonomická analýza (ERR)'!O43*1000000*N529</f>
        <v>0</v>
      </c>
      <c r="O154" s="895">
        <f>(O107+O115+O123+O129-O38-O46-O54-O60)+('Vstupy z HDM-4 a EXNAD'!F33-'Vstupy z HDM-4 a EXNAD'!K33)/'12 Ekonomická analýza (ERR)'!P43*1000000*O529</f>
        <v>0</v>
      </c>
      <c r="P154" s="895">
        <f>(P107+P115+P123+P129-P38-P46-P54-P60)+('Vstupy z HDM-4 a EXNAD'!F34-'Vstupy z HDM-4 a EXNAD'!K34)/'12 Ekonomická analýza (ERR)'!Q43*1000000*P529</f>
        <v>0</v>
      </c>
      <c r="Q154" s="895">
        <f>(Q107+Q115+Q123+Q129-Q38-Q46-Q54-Q60)+('Vstupy z HDM-4 a EXNAD'!F35-'Vstupy z HDM-4 a EXNAD'!K35)/'12 Ekonomická analýza (ERR)'!R43*1000000*Q529</f>
        <v>0</v>
      </c>
      <c r="R154" s="895">
        <f>(R107+R115+R123+R129-R38-R46-R54-R60)+('Vstupy z HDM-4 a EXNAD'!F36-'Vstupy z HDM-4 a EXNAD'!K36)/'12 Ekonomická analýza (ERR)'!S43*1000000*R529</f>
        <v>0</v>
      </c>
      <c r="S154" s="896">
        <f>(S107+S115+S123+S129-S38-S46-S54-S60)+('Vstupy z HDM-4 a EXNAD'!F37-'Vstupy z HDM-4 a EXNAD'!K37)/'12 Ekonomická analýza (ERR)'!T43*1000000*S529</f>
        <v>0</v>
      </c>
      <c r="T154" s="590"/>
      <c r="U154" s="590"/>
      <c r="V154" s="590"/>
      <c r="W154" s="590"/>
      <c r="X154" s="590"/>
      <c r="Y154" s="590"/>
      <c r="Z154" s="590"/>
      <c r="AA154" s="590"/>
      <c r="AB154" s="590"/>
      <c r="AC154" s="590"/>
    </row>
    <row r="155" spans="1:29" ht="12.75" customHeight="1" x14ac:dyDescent="0.3">
      <c r="A155" s="680"/>
      <c r="B155" s="2452"/>
      <c r="C155" s="607" t="str">
        <f t="shared" ref="C155:C162" si="40">C143</f>
        <v>Hluk</v>
      </c>
      <c r="D155" s="913"/>
      <c r="E155" s="818">
        <f>(E108+E116+E124+E130-E39-E47-E55-E61)+('Vstupy z HDM-4 a EXNAD'!G23-'Vstupy z HDM-4 a EXNAD'!L23)/'12 Ekonomická analýza (ERR)'!F43*1000000*E529</f>
        <v>0</v>
      </c>
      <c r="F155" s="732">
        <f>(F108+F116+F124+F130-F39-F47-F55-F61)+('Vstupy z HDM-4 a EXNAD'!G24-'Vstupy z HDM-4 a EXNAD'!L24)/'12 Ekonomická analýza (ERR)'!G43*1000000*F529</f>
        <v>0</v>
      </c>
      <c r="G155" s="732">
        <f>(G108+G116+G124+G130-G39-G47-G55-G61)+('Vstupy z HDM-4 a EXNAD'!G25-'Vstupy z HDM-4 a EXNAD'!L25)/'12 Ekonomická analýza (ERR)'!H43*1000000*G529</f>
        <v>0</v>
      </c>
      <c r="H155" s="732">
        <f>(H108+H116+H124+H130-H39-H47-H55-H61)+('Vstupy z HDM-4 a EXNAD'!G26-'Vstupy z HDM-4 a EXNAD'!L26)/'12 Ekonomická analýza (ERR)'!I43*1000000*H529</f>
        <v>0</v>
      </c>
      <c r="I155" s="732">
        <f>(I108+I116+I124+I130-I39-I47-I55-I61)+('Vstupy z HDM-4 a EXNAD'!G27-'Vstupy z HDM-4 a EXNAD'!L27)/'12 Ekonomická analýza (ERR)'!J43*1000000*I529</f>
        <v>0</v>
      </c>
      <c r="J155" s="732">
        <f>(J108+J116+J124+J130-J39-J47-J55-J61)+('Vstupy z HDM-4 a EXNAD'!G28-'Vstupy z HDM-4 a EXNAD'!L28)/'12 Ekonomická analýza (ERR)'!K43*1000000*J529</f>
        <v>0</v>
      </c>
      <c r="K155" s="732">
        <f>(K108+K116+K124+K130-K39-K47-K55-K61)+('Vstupy z HDM-4 a EXNAD'!G29-'Vstupy z HDM-4 a EXNAD'!L29)/'12 Ekonomická analýza (ERR)'!L43*1000000*K529</f>
        <v>0</v>
      </c>
      <c r="L155" s="732">
        <f>(L108+L116+L124+L130-L39-L47-L55-L61)+('Vstupy z HDM-4 a EXNAD'!G30-'Vstupy z HDM-4 a EXNAD'!L30)/'12 Ekonomická analýza (ERR)'!M43*1000000*L529</f>
        <v>0</v>
      </c>
      <c r="M155" s="732">
        <f>(M108+M116+M124+M130-M39-M47-M55-M61)+('Vstupy z HDM-4 a EXNAD'!G31-'Vstupy z HDM-4 a EXNAD'!L31)/'12 Ekonomická analýza (ERR)'!N43*1000000*M529</f>
        <v>0</v>
      </c>
      <c r="N155" s="732">
        <f>(N108+N116+N124+N130-N39-N47-N55-N61)+('Vstupy z HDM-4 a EXNAD'!G32-'Vstupy z HDM-4 a EXNAD'!L32)/'12 Ekonomická analýza (ERR)'!O43*1000000*N529</f>
        <v>0</v>
      </c>
      <c r="O155" s="732">
        <f>(O108+O116+O124+O130-O39-O47-O55-O61)+('Vstupy z HDM-4 a EXNAD'!G33-'Vstupy z HDM-4 a EXNAD'!L33)/'12 Ekonomická analýza (ERR)'!P43*1000000*O529</f>
        <v>0</v>
      </c>
      <c r="P155" s="732">
        <f>(P108+P116+P124+P130-P39-P47-P55-P61)+('Vstupy z HDM-4 a EXNAD'!G34-'Vstupy z HDM-4 a EXNAD'!L34)/'12 Ekonomická analýza (ERR)'!Q43*1000000*P529</f>
        <v>0</v>
      </c>
      <c r="Q155" s="732">
        <f>(Q108+Q116+Q124+Q130-Q39-Q47-Q55-Q61)+('Vstupy z HDM-4 a EXNAD'!G35-'Vstupy z HDM-4 a EXNAD'!L35)/'12 Ekonomická analýza (ERR)'!R43*1000000*Q529</f>
        <v>0</v>
      </c>
      <c r="R155" s="732">
        <f>(R108+R116+R124+R130-R39-R47-R55-R61)+('Vstupy z HDM-4 a EXNAD'!G36-'Vstupy z HDM-4 a EXNAD'!L36)/'12 Ekonomická analýza (ERR)'!S43*1000000*R529</f>
        <v>0</v>
      </c>
      <c r="S155" s="733">
        <f>(S108+S116+S124+S130-S39-S47-S55-S61)+('Vstupy z HDM-4 a EXNAD'!G37-'Vstupy z HDM-4 a EXNAD'!L37)/'12 Ekonomická analýza (ERR)'!T43*1000000*S529</f>
        <v>0</v>
      </c>
      <c r="T155" s="590"/>
      <c r="U155" s="590"/>
      <c r="V155" s="590"/>
      <c r="W155" s="590"/>
      <c r="X155" s="590"/>
      <c r="Y155" s="590"/>
      <c r="Z155" s="590"/>
      <c r="AA155" s="590"/>
      <c r="AB155" s="590"/>
      <c r="AC155" s="590"/>
    </row>
    <row r="156" spans="1:29" ht="12.75" customHeight="1" x14ac:dyDescent="0.3">
      <c r="A156" s="680"/>
      <c r="B156" s="2452"/>
      <c r="C156" s="607" t="str">
        <f t="shared" si="40"/>
        <v>Znečištění ovzduší</v>
      </c>
      <c r="D156" s="913"/>
      <c r="E156" s="818">
        <f>(E109+E117+E131-E40-E48-E62)+(('Vstupy z HDM-4 a EXNAD'!$R23-'Vstupy z HDM-4 a EXNAD'!$X23)*$E$220+('Vstupy z HDM-4 a EXNAD'!$Q23-'Vstupy z HDM-4 a EXNAD'!$W23)*$F$220+('Vstupy z HDM-4 a EXNAD'!$S23-'Vstupy z HDM-4 a EXNAD'!$Y23)*$G$220+('Vstupy z HDM-4 a EXNAD'!$P23-'Vstupy z HDM-4 a EXNAD'!$V23)*AVERAGE($H$220,$H$221,$H$222)+('Vstupy z HDM-4 a EXNAD'!$O23-'Vstupy z HDM-4 a EXNAD'!$U23)*AVERAGE($I$220,$I$221,$I$222))*(1+'0 Úvod'!$N$57*$D$524)^('0 Úvod'!$D$18-$D$219)*E529</f>
        <v>0</v>
      </c>
      <c r="F156" s="732">
        <f>(F109+F117+F131-F40-F48-F62)+(('Vstupy z HDM-4 a EXNAD'!$R24-'Vstupy z HDM-4 a EXNAD'!$X24)*$E$220+('Vstupy z HDM-4 a EXNAD'!$Q24-'Vstupy z HDM-4 a EXNAD'!$W24)*$F$220+('Vstupy z HDM-4 a EXNAD'!$S24-'Vstupy z HDM-4 a EXNAD'!$Y24)*$G$220+('Vstupy z HDM-4 a EXNAD'!$P24-'Vstupy z HDM-4 a EXNAD'!$V24)*AVERAGE($H$220,$H$221,$H$222)+('Vstupy z HDM-4 a EXNAD'!$O24-'Vstupy z HDM-4 a EXNAD'!$U24)*AVERAGE($I$220,$I$221,$I$222))*(1+'0 Úvod'!$N$57*$D$524)^('0 Úvod'!$D$18-$D$219)*F529</f>
        <v>0</v>
      </c>
      <c r="G156" s="732">
        <f>(G109+G117+G131-G40-G48-G62)+(('Vstupy z HDM-4 a EXNAD'!$R25-'Vstupy z HDM-4 a EXNAD'!$X25)*$E$220+('Vstupy z HDM-4 a EXNAD'!$Q25-'Vstupy z HDM-4 a EXNAD'!$W25)*$F$220+('Vstupy z HDM-4 a EXNAD'!$S25-'Vstupy z HDM-4 a EXNAD'!$Y25)*$G$220+('Vstupy z HDM-4 a EXNAD'!$P25-'Vstupy z HDM-4 a EXNAD'!$V25)*AVERAGE($H$220,$H$221,$H$222)+('Vstupy z HDM-4 a EXNAD'!$O25-'Vstupy z HDM-4 a EXNAD'!$U25)*AVERAGE($I$220,$I$221,$I$222))*(1+'0 Úvod'!$N$57*$D$524)^('0 Úvod'!$D$18-$D$219)*G529</f>
        <v>0</v>
      </c>
      <c r="H156" s="732">
        <f>(H109+H117+H131-H40-H48-H62)+(('Vstupy z HDM-4 a EXNAD'!$R26-'Vstupy z HDM-4 a EXNAD'!$X26)*$E$220+('Vstupy z HDM-4 a EXNAD'!$Q26-'Vstupy z HDM-4 a EXNAD'!$W26)*$F$220+('Vstupy z HDM-4 a EXNAD'!$S26-'Vstupy z HDM-4 a EXNAD'!$Y26)*$G$220+('Vstupy z HDM-4 a EXNAD'!$P26-'Vstupy z HDM-4 a EXNAD'!$V26)*AVERAGE($H$220,$H$221,$H$222)+('Vstupy z HDM-4 a EXNAD'!$O26-'Vstupy z HDM-4 a EXNAD'!$U26)*AVERAGE($I$220,$I$221,$I$222))*(1+'0 Úvod'!$N$57*$D$524)^('0 Úvod'!$D$18-$D$219)*H529</f>
        <v>0</v>
      </c>
      <c r="I156" s="732">
        <f>(I109+I117+I131-I40-I48-I62)+(('Vstupy z HDM-4 a EXNAD'!$R27-'Vstupy z HDM-4 a EXNAD'!$X27)*$E$220+('Vstupy z HDM-4 a EXNAD'!$Q27-'Vstupy z HDM-4 a EXNAD'!$W27)*$F$220+('Vstupy z HDM-4 a EXNAD'!$S27-'Vstupy z HDM-4 a EXNAD'!$Y27)*$G$220+('Vstupy z HDM-4 a EXNAD'!$P27-'Vstupy z HDM-4 a EXNAD'!$V27)*AVERAGE($H$220,$H$221,$H$222)+('Vstupy z HDM-4 a EXNAD'!$O27-'Vstupy z HDM-4 a EXNAD'!$U27)*AVERAGE($I$220,$I$221,$I$222))*(1+'0 Úvod'!$N$57*$D$524)^('0 Úvod'!$D$18-$D$219)*I529</f>
        <v>0</v>
      </c>
      <c r="J156" s="732">
        <f>(J109+J117+J131-J40-J48-J62)+(('Vstupy z HDM-4 a EXNAD'!$R28-'Vstupy z HDM-4 a EXNAD'!$X28)*$E$220+('Vstupy z HDM-4 a EXNAD'!$Q28-'Vstupy z HDM-4 a EXNAD'!$W28)*$F$220+('Vstupy z HDM-4 a EXNAD'!$S28-'Vstupy z HDM-4 a EXNAD'!$Y28)*$G$220+('Vstupy z HDM-4 a EXNAD'!$P28-'Vstupy z HDM-4 a EXNAD'!$V28)*AVERAGE($H$220,$H$221,$H$222)+('Vstupy z HDM-4 a EXNAD'!$O28-'Vstupy z HDM-4 a EXNAD'!$U28)*AVERAGE($I$220,$I$221,$I$222))*(1+'0 Úvod'!$N$57*$D$524)^('0 Úvod'!$D$18-$D$219)*J529</f>
        <v>0</v>
      </c>
      <c r="K156" s="732">
        <f>(K109+K117+K131-K40-K48-K62)+(('Vstupy z HDM-4 a EXNAD'!$R29-'Vstupy z HDM-4 a EXNAD'!$X29)*$E$220+('Vstupy z HDM-4 a EXNAD'!$Q29-'Vstupy z HDM-4 a EXNAD'!$W29)*$F$220+('Vstupy z HDM-4 a EXNAD'!$S29-'Vstupy z HDM-4 a EXNAD'!$Y29)*$G$220+('Vstupy z HDM-4 a EXNAD'!$P29-'Vstupy z HDM-4 a EXNAD'!$V29)*AVERAGE($H$220,$H$221,$H$222)+('Vstupy z HDM-4 a EXNAD'!$O29-'Vstupy z HDM-4 a EXNAD'!$U29)*AVERAGE($I$220,$I$221,$I$222))*(1+'0 Úvod'!$N$57*$D$524)^('0 Úvod'!$D$18-$D$219)*K529</f>
        <v>0</v>
      </c>
      <c r="L156" s="732">
        <f>(L109+L117+L131-L40-L48-L62)+(('Vstupy z HDM-4 a EXNAD'!$R30-'Vstupy z HDM-4 a EXNAD'!$X30)*$E$220+('Vstupy z HDM-4 a EXNAD'!$Q30-'Vstupy z HDM-4 a EXNAD'!$W30)*$F$220+('Vstupy z HDM-4 a EXNAD'!$S30-'Vstupy z HDM-4 a EXNAD'!$Y30)*$G$220+('Vstupy z HDM-4 a EXNAD'!$P30-'Vstupy z HDM-4 a EXNAD'!$V30)*AVERAGE($H$220,$H$221,$H$222)+('Vstupy z HDM-4 a EXNAD'!$O30-'Vstupy z HDM-4 a EXNAD'!$U30)*AVERAGE($I$220,$I$221,$I$222))*(1+'0 Úvod'!$N$57*$D$524)^('0 Úvod'!$D$18-$D$219)*L529</f>
        <v>0</v>
      </c>
      <c r="M156" s="732">
        <f>(M109+M117+M131-M40-M48-M62)+(('Vstupy z HDM-4 a EXNAD'!$R31-'Vstupy z HDM-4 a EXNAD'!$X31)*$E$220+('Vstupy z HDM-4 a EXNAD'!$Q31-'Vstupy z HDM-4 a EXNAD'!$W31)*$F$220+('Vstupy z HDM-4 a EXNAD'!$S31-'Vstupy z HDM-4 a EXNAD'!$Y31)*$G$220+('Vstupy z HDM-4 a EXNAD'!$P31-'Vstupy z HDM-4 a EXNAD'!$V31)*AVERAGE($H$220,$H$221,$H$222)+('Vstupy z HDM-4 a EXNAD'!$O31-'Vstupy z HDM-4 a EXNAD'!$U31)*AVERAGE($I$220,$I$221,$I$222))*(1+'0 Úvod'!$N$57*$D$524)^('0 Úvod'!$D$18-$D$219)*M529</f>
        <v>0</v>
      </c>
      <c r="N156" s="732">
        <f>(N109+N117+N131-N40-N48-N62)+(('Vstupy z HDM-4 a EXNAD'!$R32-'Vstupy z HDM-4 a EXNAD'!$X32)*$E$220+('Vstupy z HDM-4 a EXNAD'!$Q32-'Vstupy z HDM-4 a EXNAD'!$W32)*$F$220+('Vstupy z HDM-4 a EXNAD'!$S32-'Vstupy z HDM-4 a EXNAD'!$Y32)*$G$220+('Vstupy z HDM-4 a EXNAD'!$P32-'Vstupy z HDM-4 a EXNAD'!$V32)*AVERAGE($H$220,$H$221,$H$222)+('Vstupy z HDM-4 a EXNAD'!$O32-'Vstupy z HDM-4 a EXNAD'!$U32)*AVERAGE($I$220,$I$221,$I$222))*(1+'0 Úvod'!$N$57*$D$524)^('0 Úvod'!$D$18-$D$219)*N529</f>
        <v>0</v>
      </c>
      <c r="O156" s="732">
        <f>(O109+O117+O131-O40-O48-O62)+(('Vstupy z HDM-4 a EXNAD'!$R33-'Vstupy z HDM-4 a EXNAD'!$X33)*$E$220+('Vstupy z HDM-4 a EXNAD'!$Q33-'Vstupy z HDM-4 a EXNAD'!$W33)*$F$220+('Vstupy z HDM-4 a EXNAD'!$S33-'Vstupy z HDM-4 a EXNAD'!$Y33)*$G$220+('Vstupy z HDM-4 a EXNAD'!$P33-'Vstupy z HDM-4 a EXNAD'!$V33)*AVERAGE($H$220,$H$221,$H$222)+('Vstupy z HDM-4 a EXNAD'!$O33-'Vstupy z HDM-4 a EXNAD'!$U33)*AVERAGE($I$220,$I$221,$I$222))*(1+'0 Úvod'!$N$57*$D$524)^('0 Úvod'!$D$18-$D$219)*O529</f>
        <v>0</v>
      </c>
      <c r="P156" s="732">
        <f>(P109+P117+P131-P40-P48-P62)+(('Vstupy z HDM-4 a EXNAD'!$R34-'Vstupy z HDM-4 a EXNAD'!$X34)*$E$220+('Vstupy z HDM-4 a EXNAD'!$Q34-'Vstupy z HDM-4 a EXNAD'!$W34)*$F$220+('Vstupy z HDM-4 a EXNAD'!$S34-'Vstupy z HDM-4 a EXNAD'!$Y34)*$G$220+('Vstupy z HDM-4 a EXNAD'!$P34-'Vstupy z HDM-4 a EXNAD'!$V34)*AVERAGE($H$220,$H$221,$H$222)+('Vstupy z HDM-4 a EXNAD'!$O34-'Vstupy z HDM-4 a EXNAD'!$U34)*AVERAGE($I$220,$I$221,$I$222))*(1+'0 Úvod'!$N$57*$D$524)^('0 Úvod'!$D$18-$D$219)*P529</f>
        <v>0</v>
      </c>
      <c r="Q156" s="732">
        <f>(Q109+Q117+Q131-Q40-Q48-Q62)+(('Vstupy z HDM-4 a EXNAD'!$R35-'Vstupy z HDM-4 a EXNAD'!$X35)*$E$220+('Vstupy z HDM-4 a EXNAD'!$Q35-'Vstupy z HDM-4 a EXNAD'!$W35)*$F$220+('Vstupy z HDM-4 a EXNAD'!$S35-'Vstupy z HDM-4 a EXNAD'!$Y35)*$G$220+('Vstupy z HDM-4 a EXNAD'!$P35-'Vstupy z HDM-4 a EXNAD'!$V35)*AVERAGE($H$220,$H$221,$H$222)+('Vstupy z HDM-4 a EXNAD'!$O35-'Vstupy z HDM-4 a EXNAD'!$U35)*AVERAGE($I$220,$I$221,$I$222))*(1+'0 Úvod'!$N$57*$D$524)^('0 Úvod'!$D$18-$D$219)*Q529</f>
        <v>0</v>
      </c>
      <c r="R156" s="732">
        <f>(R109+R117+R131-R40-R48-R62)+(('Vstupy z HDM-4 a EXNAD'!$R36-'Vstupy z HDM-4 a EXNAD'!$X36)*$E$220+('Vstupy z HDM-4 a EXNAD'!$Q36-'Vstupy z HDM-4 a EXNAD'!$W36)*$F$220+('Vstupy z HDM-4 a EXNAD'!$S36-'Vstupy z HDM-4 a EXNAD'!$Y36)*$G$220+('Vstupy z HDM-4 a EXNAD'!$P36-'Vstupy z HDM-4 a EXNAD'!$V36)*AVERAGE($H$220,$H$221,$H$222)+('Vstupy z HDM-4 a EXNAD'!$O36-'Vstupy z HDM-4 a EXNAD'!$U36)*AVERAGE($I$220,$I$221,$I$222))*(1+'0 Úvod'!$N$57*$D$524)^('0 Úvod'!$D$18-$D$219)*R529</f>
        <v>0</v>
      </c>
      <c r="S156" s="733">
        <f>(S109+S117+S131-S40-S48-S62)+(('Vstupy z HDM-4 a EXNAD'!$R37-'Vstupy z HDM-4 a EXNAD'!$X37)*$E$220+('Vstupy z HDM-4 a EXNAD'!$Q37-'Vstupy z HDM-4 a EXNAD'!$W37)*$F$220+('Vstupy z HDM-4 a EXNAD'!$S37-'Vstupy z HDM-4 a EXNAD'!$Y37)*$G$220+('Vstupy z HDM-4 a EXNAD'!$P37-'Vstupy z HDM-4 a EXNAD'!$V37)*AVERAGE($H$220,$H$221,$H$222)+('Vstupy z HDM-4 a EXNAD'!$O37-'Vstupy z HDM-4 a EXNAD'!$U37)*AVERAGE($I$220,$I$221,$I$222))*(1+'0 Úvod'!$N$57*$D$524)^('0 Úvod'!$D$18-$D$219)*S529</f>
        <v>0</v>
      </c>
      <c r="T156" s="590"/>
      <c r="U156" s="590"/>
      <c r="V156" s="590"/>
      <c r="W156" s="590"/>
      <c r="X156" s="590"/>
      <c r="Y156" s="590"/>
      <c r="Z156" s="590"/>
      <c r="AA156" s="590"/>
      <c r="AB156" s="590"/>
      <c r="AC156" s="590"/>
    </row>
    <row r="157" spans="1:29" ht="12.75" customHeight="1" x14ac:dyDescent="0.3">
      <c r="A157" s="680"/>
      <c r="B157" s="2453"/>
      <c r="C157" s="613" t="str">
        <f t="shared" si="40"/>
        <v>Klimatické změny</v>
      </c>
      <c r="D157" s="1176"/>
      <c r="E157" s="1178">
        <f>(E110+E118+E132-E41-E49-E63)+('Vstupy z HDM-4 a EXNAD'!T23-'Vstupy z HDM-4 a EXNAD'!Z23)*$D$220*(1+'0 Úvod'!$N$57*$D$524)^('0 Úvod'!$D$18-$D$219)*E529</f>
        <v>0</v>
      </c>
      <c r="F157" s="1179">
        <f>(F110+F118+F132-F41-F49-F63)+('Vstupy z HDM-4 a EXNAD'!T24-'Vstupy z HDM-4 a EXNAD'!Z24)*$D$220*(1+'0 Úvod'!$N$57*$D$524)^('0 Úvod'!$D$18-$D$219)*F529</f>
        <v>0</v>
      </c>
      <c r="G157" s="1179">
        <f>(G110+G118+G132-G41-G49-G63)+('Vstupy z HDM-4 a EXNAD'!T25-'Vstupy z HDM-4 a EXNAD'!Z25)*$D$220*(1+'0 Úvod'!$N$57*$D$524)^('0 Úvod'!$D$18-$D$219)*G529</f>
        <v>0</v>
      </c>
      <c r="H157" s="1179">
        <f>(H110+H118+H132-H41-H49-H63)+('Vstupy z HDM-4 a EXNAD'!T26-'Vstupy z HDM-4 a EXNAD'!Z26)*$D$220*(1+'0 Úvod'!$N$57*$D$524)^('0 Úvod'!$D$18-$D$219)*H529</f>
        <v>0</v>
      </c>
      <c r="I157" s="1179">
        <f>(I110+I118+I132-I41-I49-I63)+('Vstupy z HDM-4 a EXNAD'!T27-'Vstupy z HDM-4 a EXNAD'!Z27)*$D$220*(1+'0 Úvod'!$N$57*$D$524)^('0 Úvod'!$D$18-$D$219)*I529</f>
        <v>0</v>
      </c>
      <c r="J157" s="1179">
        <f>(J110+J118+J132-J41-J49-J63)+('Vstupy z HDM-4 a EXNAD'!T28-'Vstupy z HDM-4 a EXNAD'!Z28)*$D$220*(1+'0 Úvod'!$N$57*$D$524)^('0 Úvod'!$D$18-$D$219)*J529</f>
        <v>0</v>
      </c>
      <c r="K157" s="1179">
        <f>(K110+K118+K132-K41-K49-K63)+('Vstupy z HDM-4 a EXNAD'!T29-'Vstupy z HDM-4 a EXNAD'!Z29)*$D$220*(1+'0 Úvod'!$N$57*$D$524)^('0 Úvod'!$D$18-$D$219)*K529</f>
        <v>0</v>
      </c>
      <c r="L157" s="1179">
        <f>(L110+L118+L132-L41-L49-L63)+('Vstupy z HDM-4 a EXNAD'!T30-'Vstupy z HDM-4 a EXNAD'!Z30)*$D$220*(1+'0 Úvod'!$N$57*$D$524)^('0 Úvod'!$D$18-$D$219)*L529</f>
        <v>0</v>
      </c>
      <c r="M157" s="1179">
        <f>(M110+M118+M132-M41-M49-M63)+('Vstupy z HDM-4 a EXNAD'!T31-'Vstupy z HDM-4 a EXNAD'!Z31)*$D$220*(1+'0 Úvod'!$N$57*$D$524)^('0 Úvod'!$D$18-$D$219)*M529</f>
        <v>0</v>
      </c>
      <c r="N157" s="1179">
        <f>(N110+N118+N132-N41-N49-N63)+('Vstupy z HDM-4 a EXNAD'!T32-'Vstupy z HDM-4 a EXNAD'!Z32)*$D$220*(1+'0 Úvod'!$N$57*$D$524)^('0 Úvod'!$D$18-$D$219)*N529</f>
        <v>0</v>
      </c>
      <c r="O157" s="1179">
        <f>(O110+O118+O132-O41-O49-O63)+('Vstupy z HDM-4 a EXNAD'!T33-'Vstupy z HDM-4 a EXNAD'!Z33)*$D$220*(1+'0 Úvod'!$N$57*$D$524)^('0 Úvod'!$D$18-$D$219)*O529</f>
        <v>0</v>
      </c>
      <c r="P157" s="1179">
        <f>(P110+P118+P132-P41-P49-P63)+('Vstupy z HDM-4 a EXNAD'!T34-'Vstupy z HDM-4 a EXNAD'!Z34)*$D$220*(1+'0 Úvod'!$N$57*$D$524)^('0 Úvod'!$D$18-$D$219)*P529</f>
        <v>0</v>
      </c>
      <c r="Q157" s="1179">
        <f>(Q110+Q118+Q132-Q41-Q49-Q63)+('Vstupy z HDM-4 a EXNAD'!T35-'Vstupy z HDM-4 a EXNAD'!Z35)*$D$220*(1+'0 Úvod'!$N$57*$D$524)^('0 Úvod'!$D$18-$D$219)*Q529</f>
        <v>0</v>
      </c>
      <c r="R157" s="1179">
        <f>(R110+R118+R132-R41-R49-R63)+('Vstupy z HDM-4 a EXNAD'!T36-'Vstupy z HDM-4 a EXNAD'!Z36)*$D$220*(1+'0 Úvod'!$N$57*$D$524)^('0 Úvod'!$D$18-$D$219)*R529</f>
        <v>0</v>
      </c>
      <c r="S157" s="1180">
        <f>(S110+S118+S132-S41-S49-S63)+('Vstupy z HDM-4 a EXNAD'!T37-'Vstupy z HDM-4 a EXNAD'!Z37)*$D$220*(1+'0 Úvod'!$N$57*$D$524)^('0 Úvod'!$D$18-$D$219)*S529</f>
        <v>0</v>
      </c>
      <c r="T157" s="590"/>
      <c r="U157" s="590"/>
      <c r="V157" s="590"/>
      <c r="W157" s="590"/>
      <c r="X157" s="590"/>
      <c r="Y157" s="590"/>
      <c r="Z157" s="590"/>
      <c r="AA157" s="590"/>
      <c r="AB157" s="590"/>
      <c r="AC157" s="590"/>
    </row>
    <row r="158" spans="1:29" s="1145" customFormat="1" ht="12.75" customHeight="1" x14ac:dyDescent="0.3">
      <c r="A158" s="1149"/>
      <c r="B158" s="2454" t="str">
        <f>B146</f>
        <v>Nákladní</v>
      </c>
      <c r="C158" s="1146" t="str">
        <f t="shared" si="40"/>
        <v>Nehody</v>
      </c>
      <c r="D158" s="1157"/>
      <c r="E158" s="1181">
        <f t="shared" ref="E158:S158" si="41">E111+E119+E125+E133-E42-E50-E56-E64</f>
        <v>4563879.7576077646</v>
      </c>
      <c r="F158" s="1182">
        <f t="shared" si="41"/>
        <v>4639275.0512034455</v>
      </c>
      <c r="G158" s="1182">
        <f t="shared" si="41"/>
        <v>4715915.8750493275</v>
      </c>
      <c r="H158" s="1182">
        <f t="shared" si="41"/>
        <v>4793822.805305142</v>
      </c>
      <c r="I158" s="1182">
        <f t="shared" si="41"/>
        <v>4873016.758048784</v>
      </c>
      <c r="J158" s="1182">
        <f t="shared" si="41"/>
        <v>4953518.9948917488</v>
      </c>
      <c r="K158" s="1182">
        <f t="shared" si="41"/>
        <v>5035351.1286873622</v>
      </c>
      <c r="L158" s="1182">
        <f t="shared" si="41"/>
        <v>5118535.1293332763</v>
      </c>
      <c r="M158" s="1182">
        <f t="shared" si="41"/>
        <v>5203093.3296698639</v>
      </c>
      <c r="N158" s="1182">
        <f t="shared" si="41"/>
        <v>5289048.43147601</v>
      </c>
      <c r="O158" s="1182">
        <f t="shared" si="41"/>
        <v>5376423.5115639949</v>
      </c>
      <c r="P158" s="1182">
        <f t="shared" si="41"/>
        <v>5465242.0279750321</v>
      </c>
      <c r="Q158" s="1182">
        <f t="shared" si="41"/>
        <v>5555527.8262771806</v>
      </c>
      <c r="R158" s="1182">
        <f t="shared" si="41"/>
        <v>5647305.1459672805</v>
      </c>
      <c r="S158" s="1183">
        <f t="shared" si="41"/>
        <v>5740598.6269786609</v>
      </c>
      <c r="T158" s="1144"/>
      <c r="U158" s="1144"/>
      <c r="V158" s="1144"/>
      <c r="W158" s="1144"/>
      <c r="X158" s="1144"/>
      <c r="Y158" s="1144"/>
      <c r="Z158" s="1144"/>
      <c r="AA158" s="1144"/>
      <c r="AB158" s="1144"/>
      <c r="AC158" s="1144"/>
    </row>
    <row r="159" spans="1:29" s="1145" customFormat="1" ht="12.75" customHeight="1" x14ac:dyDescent="0.3">
      <c r="A159" s="1149"/>
      <c r="B159" s="2455"/>
      <c r="C159" s="1146" t="str">
        <f t="shared" si="40"/>
        <v>Hluk</v>
      </c>
      <c r="D159" s="1157"/>
      <c r="E159" s="1181">
        <f t="shared" ref="E159:S159" si="42">E112+E120+E126+E134-E43-E51-E57-E65</f>
        <v>431282.45931836485</v>
      </c>
      <c r="F159" s="1182">
        <f t="shared" si="42"/>
        <v>438407.24554630427</v>
      </c>
      <c r="G159" s="1182">
        <f t="shared" si="42"/>
        <v>445649.73324272927</v>
      </c>
      <c r="H159" s="1182">
        <f t="shared" si="42"/>
        <v>453011.86683589907</v>
      </c>
      <c r="I159" s="1182">
        <f t="shared" si="42"/>
        <v>460495.62287602836</v>
      </c>
      <c r="J159" s="1182">
        <f t="shared" si="42"/>
        <v>468103.01056594012</v>
      </c>
      <c r="K159" s="1182">
        <f t="shared" si="42"/>
        <v>475836.07230048958</v>
      </c>
      <c r="L159" s="1182">
        <f t="shared" si="42"/>
        <v>483696.88421489386</v>
      </c>
      <c r="M159" s="1182">
        <f t="shared" si="42"/>
        <v>491687.55674212379</v>
      </c>
      <c r="N159" s="1182">
        <f t="shared" si="42"/>
        <v>499810.23517950374</v>
      </c>
      <c r="O159" s="1182">
        <f t="shared" si="42"/>
        <v>508067.1002646691</v>
      </c>
      <c r="P159" s="1182">
        <f t="shared" si="42"/>
        <v>516460.36876104161</v>
      </c>
      <c r="Q159" s="1182">
        <f t="shared" si="42"/>
        <v>524992.29405297409</v>
      </c>
      <c r="R159" s="1182">
        <f t="shared" si="42"/>
        <v>533665.16675072932</v>
      </c>
      <c r="S159" s="1183">
        <f t="shared" si="42"/>
        <v>542481.3153054514</v>
      </c>
      <c r="T159" s="1144"/>
      <c r="U159" s="1144"/>
      <c r="V159" s="1144"/>
      <c r="W159" s="1144"/>
      <c r="X159" s="1144"/>
      <c r="Y159" s="1144"/>
      <c r="Z159" s="1144"/>
      <c r="AA159" s="1144"/>
      <c r="AB159" s="1144"/>
      <c r="AC159" s="1144"/>
    </row>
    <row r="160" spans="1:29" s="1145" customFormat="1" ht="12.75" customHeight="1" x14ac:dyDescent="0.3">
      <c r="A160" s="1149"/>
      <c r="B160" s="2455"/>
      <c r="C160" s="1146" t="str">
        <f t="shared" si="40"/>
        <v>Znečištění ovzduší</v>
      </c>
      <c r="D160" s="1157"/>
      <c r="E160" s="1181">
        <f t="shared" ref="E160:S160" si="43">E113+E121+E127+E135-E44-E52-E58-E66</f>
        <v>141254.2361803909</v>
      </c>
      <c r="F160" s="1182">
        <f t="shared" si="43"/>
        <v>143587.75616209095</v>
      </c>
      <c r="G160" s="1182">
        <f t="shared" si="43"/>
        <v>145959.82589388874</v>
      </c>
      <c r="H160" s="1182">
        <f t="shared" si="43"/>
        <v>148371.08221765578</v>
      </c>
      <c r="I160" s="1182">
        <f t="shared" si="43"/>
        <v>150822.17249589146</v>
      </c>
      <c r="J160" s="1182">
        <f t="shared" si="43"/>
        <v>153313.75478552358</v>
      </c>
      <c r="K160" s="1182">
        <f t="shared" si="43"/>
        <v>155846.49801458046</v>
      </c>
      <c r="L160" s="1182">
        <f t="shared" si="43"/>
        <v>158421.08216178132</v>
      </c>
      <c r="M160" s="1182">
        <f t="shared" si="43"/>
        <v>161038.19843909401</v>
      </c>
      <c r="N160" s="1182">
        <f t="shared" si="43"/>
        <v>163698.54947730782</v>
      </c>
      <c r="O160" s="1182">
        <f t="shared" si="43"/>
        <v>166402.84951467294</v>
      </c>
      <c r="P160" s="1182">
        <f t="shared" si="43"/>
        <v>169151.82458865538</v>
      </c>
      <c r="Q160" s="1182">
        <f t="shared" si="43"/>
        <v>171946.21273085999</v>
      </c>
      <c r="R160" s="1182">
        <f t="shared" si="43"/>
        <v>174786.76416517381</v>
      </c>
      <c r="S160" s="1183">
        <f t="shared" si="43"/>
        <v>177674.2415091825</v>
      </c>
      <c r="T160" s="1144"/>
      <c r="U160" s="1144"/>
      <c r="V160" s="1144"/>
      <c r="W160" s="1144"/>
      <c r="X160" s="1144"/>
      <c r="Y160" s="1144"/>
      <c r="Z160" s="1144"/>
      <c r="AA160" s="1144"/>
      <c r="AB160" s="1144"/>
      <c r="AC160" s="1144"/>
    </row>
    <row r="161" spans="1:29" s="1145" customFormat="1" ht="12.75" customHeight="1" x14ac:dyDescent="0.3">
      <c r="A161" s="1149"/>
      <c r="B161" s="2456"/>
      <c r="C161" s="1146" t="str">
        <f t="shared" si="40"/>
        <v>Klimatické změny</v>
      </c>
      <c r="D161" s="1159"/>
      <c r="E161" s="1184">
        <f t="shared" ref="E161:S161" si="44">E114+E122+E128+E136-E45-E53-E59-E67</f>
        <v>75877.627330877876</v>
      </c>
      <c r="F161" s="1185">
        <f t="shared" si="44"/>
        <v>77131.125734383997</v>
      </c>
      <c r="G161" s="1185">
        <f t="shared" si="44"/>
        <v>78405.331931516033</v>
      </c>
      <c r="H161" s="1185">
        <f t="shared" si="44"/>
        <v>79700.588015024681</v>
      </c>
      <c r="I161" s="1185">
        <f t="shared" si="44"/>
        <v>81017.241729032874</v>
      </c>
      <c r="J161" s="1185">
        <f t="shared" si="44"/>
        <v>82355.646562396505</v>
      </c>
      <c r="K161" s="1185">
        <f t="shared" si="44"/>
        <v>83716.161843607304</v>
      </c>
      <c r="L161" s="1185">
        <f t="shared" si="44"/>
        <v>85099.152837263711</v>
      </c>
      <c r="M161" s="1185">
        <f t="shared" si="44"/>
        <v>86504.990842135303</v>
      </c>
      <c r="N161" s="1185">
        <f t="shared" si="44"/>
        <v>87934.053290847369</v>
      </c>
      <c r="O161" s="1185">
        <f t="shared" si="44"/>
        <v>89386.723851212213</v>
      </c>
      <c r="P161" s="1185">
        <f t="shared" si="44"/>
        <v>90863.392529234246</v>
      </c>
      <c r="Q161" s="1185">
        <f t="shared" si="44"/>
        <v>92364.455773817201</v>
      </c>
      <c r="R161" s="1185">
        <f t="shared" si="44"/>
        <v>93890.316583200663</v>
      </c>
      <c r="S161" s="1186">
        <f t="shared" si="44"/>
        <v>95441.384613155155</v>
      </c>
      <c r="T161" s="1144"/>
      <c r="U161" s="1144"/>
      <c r="V161" s="1144"/>
      <c r="W161" s="1144"/>
      <c r="X161" s="1144"/>
      <c r="Y161" s="1144"/>
      <c r="Z161" s="1144"/>
      <c r="AA161" s="1144"/>
      <c r="AB161" s="1144"/>
      <c r="AC161" s="1144"/>
    </row>
    <row r="162" spans="1:29" ht="12.75" customHeight="1" thickBot="1" x14ac:dyDescent="0.35">
      <c r="A162" s="666"/>
      <c r="B162" s="771"/>
      <c r="C162" s="1174" t="str">
        <f t="shared" si="40"/>
        <v>Celkem externí efekty - úspory</v>
      </c>
      <c r="D162" s="1175"/>
      <c r="E162" s="882">
        <f>SUM(E154:E161)</f>
        <v>5212294.0804373985</v>
      </c>
      <c r="F162" s="883">
        <f t="shared" ref="F162:S162" si="45">SUM(F154:F161)</f>
        <v>5298401.1786462255</v>
      </c>
      <c r="G162" s="883">
        <f t="shared" si="45"/>
        <v>5385930.766117462</v>
      </c>
      <c r="H162" s="883">
        <f t="shared" si="45"/>
        <v>5474906.3423737213</v>
      </c>
      <c r="I162" s="883">
        <f t="shared" si="45"/>
        <v>5565351.795149737</v>
      </c>
      <c r="J162" s="883">
        <f t="shared" si="45"/>
        <v>5657291.4068056094</v>
      </c>
      <c r="K162" s="883">
        <f t="shared" si="45"/>
        <v>5750749.8608460398</v>
      </c>
      <c r="L162" s="883">
        <f t="shared" si="45"/>
        <v>5845752.248547215</v>
      </c>
      <c r="M162" s="883">
        <f t="shared" si="45"/>
        <v>5942324.0756932171</v>
      </c>
      <c r="N162" s="883">
        <f t="shared" si="45"/>
        <v>6040491.2694236692</v>
      </c>
      <c r="O162" s="883">
        <f t="shared" si="45"/>
        <v>6140280.1851945492</v>
      </c>
      <c r="P162" s="883">
        <f t="shared" si="45"/>
        <v>6241717.6138539631</v>
      </c>
      <c r="Q162" s="883">
        <f t="shared" si="45"/>
        <v>6344830.7888348326</v>
      </c>
      <c r="R162" s="883">
        <f t="shared" si="45"/>
        <v>6449647.3934663842</v>
      </c>
      <c r="S162" s="884">
        <f t="shared" si="45"/>
        <v>6556195.5684064506</v>
      </c>
      <c r="T162" s="679"/>
      <c r="U162" s="679"/>
      <c r="V162" s="679"/>
      <c r="W162" s="679"/>
      <c r="X162" s="679"/>
      <c r="Y162" s="679"/>
      <c r="Z162" s="679"/>
      <c r="AA162" s="679"/>
      <c r="AB162" s="679"/>
      <c r="AC162" s="679"/>
    </row>
    <row r="163" spans="1:29" ht="12.75" customHeight="1" x14ac:dyDescent="0.3"/>
    <row r="164" spans="1:29" ht="14.25" thickBot="1" x14ac:dyDescent="0.35"/>
    <row r="165" spans="1:29" s="950" customFormat="1" x14ac:dyDescent="0.25">
      <c r="B165" s="951"/>
      <c r="C165" s="952" t="str">
        <f>IF('0 Úvod'!$M$10="English",Slovnik!D289,Slovnik!C289)</f>
        <v>Externí náklady -  scénář s projektem (CZK)</v>
      </c>
      <c r="D165" s="1171">
        <f>D34</f>
        <v>16969882.127398923</v>
      </c>
      <c r="E165" s="953"/>
      <c r="F165" s="954"/>
      <c r="G165" s="954"/>
      <c r="H165" s="954"/>
      <c r="I165" s="954"/>
      <c r="J165" s="954"/>
      <c r="K165" s="954"/>
      <c r="L165" s="954"/>
      <c r="M165" s="954"/>
      <c r="N165" s="954"/>
      <c r="O165" s="954"/>
      <c r="P165" s="954"/>
      <c r="Q165" s="955"/>
      <c r="R165" s="955"/>
    </row>
    <row r="166" spans="1:29" s="950" customFormat="1" x14ac:dyDescent="0.25">
      <c r="B166" s="956"/>
      <c r="C166" s="957" t="str">
        <f>IF('0 Úvod'!$M$10="English",Slovnik!D290,Slovnik!C290)</f>
        <v>Externí náklady - scénář bez projektu (CZK)</v>
      </c>
      <c r="D166" s="1170">
        <f>D103</f>
        <v>154420630.14357501</v>
      </c>
      <c r="E166" s="958"/>
      <c r="F166" s="959"/>
      <c r="G166" s="959"/>
      <c r="H166" s="959"/>
      <c r="I166" s="959"/>
      <c r="J166" s="959"/>
      <c r="K166" s="959"/>
      <c r="L166" s="959"/>
      <c r="M166" s="959"/>
      <c r="N166" s="959"/>
      <c r="O166" s="959"/>
      <c r="P166" s="959"/>
      <c r="Q166" s="960"/>
      <c r="R166" s="960"/>
    </row>
    <row r="167" spans="1:29" ht="15" thickBot="1" x14ac:dyDescent="0.35">
      <c r="B167" s="796"/>
      <c r="C167" s="961" t="str">
        <f>IF('0 Úvod'!$M$10="English",Slovnik!D291,Slovnik!C291)</f>
        <v>Celkem externí efekty - úspory (CZK)</v>
      </c>
      <c r="D167" s="1172">
        <f>D150</f>
        <v>137450748.0161761</v>
      </c>
      <c r="E167" s="958"/>
      <c r="J167" s="962"/>
    </row>
    <row r="168" spans="1:29" x14ac:dyDescent="0.3">
      <c r="D168" s="963"/>
    </row>
    <row r="169" spans="1:29" ht="15" thickBot="1" x14ac:dyDescent="0.35">
      <c r="B169" s="1189"/>
      <c r="C169" s="1191"/>
      <c r="D169" s="1191"/>
      <c r="E169" s="1191"/>
      <c r="F169" s="1191"/>
      <c r="G169" s="2084"/>
      <c r="H169" s="964"/>
    </row>
    <row r="170" spans="1:29" ht="15" thickBot="1" x14ac:dyDescent="0.35">
      <c r="B170" s="2459" t="s">
        <v>147</v>
      </c>
      <c r="C170" s="2467" t="str">
        <f>IF('0 Úvod'!$M$10="English",Slovnik!$D$292,Slovnik!$C$292)</f>
        <v>Společenské náklady NEHODOVOSTI</v>
      </c>
      <c r="D170" s="2468"/>
      <c r="E170" s="2468"/>
      <c r="F170" s="2469"/>
      <c r="G170" s="2084"/>
      <c r="H170" s="964"/>
    </row>
    <row r="171" spans="1:29" ht="14.25" x14ac:dyDescent="0.3">
      <c r="B171" s="2465"/>
      <c r="C171" s="1859" t="str">
        <f>IF('0 Úvod'!$M$10="English",Slovnik!D293,Slovnik!C293)</f>
        <v>nehoda</v>
      </c>
      <c r="D171" s="2462" t="str">
        <f>IF('0 Úvod'!$M$10="English",Slovnik!$D$299,Slovnik!$C$299)</f>
        <v>měrná hodnota</v>
      </c>
      <c r="E171" s="2463"/>
      <c r="F171" s="2464" t="str">
        <f>IF('0 Úvod'!$M$10="English",Slovnik!$D$300,Slovnik!$C$300)</f>
        <v>jednotka</v>
      </c>
    </row>
    <row r="172" spans="1:29" ht="15" thickBot="1" x14ac:dyDescent="0.35">
      <c r="B172" s="2465"/>
      <c r="C172" s="1861" t="str">
        <f>IF('0 Úvod'!$M$10="English",Slovnik!D294,Slovnik!C294)</f>
        <v>CÚ</v>
      </c>
      <c r="D172" s="1208">
        <v>2017</v>
      </c>
      <c r="E172" s="1862">
        <f>'0 Úvod'!D18</f>
        <v>2020</v>
      </c>
      <c r="F172" s="2458"/>
    </row>
    <row r="173" spans="1:29" ht="13.15" customHeight="1" x14ac:dyDescent="0.3">
      <c r="B173" s="2465"/>
      <c r="C173" s="1863" t="str">
        <f>IF('0 Úvod'!$M$10="English",Slovnik!D295,Slovnik!C295)</f>
        <v>s úmrtím</v>
      </c>
      <c r="D173" s="1193">
        <v>20790000</v>
      </c>
      <c r="E173" s="2046"/>
      <c r="F173" s="2472" t="str">
        <f>IF('0 Úvod'!$M$10="English",Slovnik!$D$301,Slovnik!$C$301)</f>
        <v>CZK/osoba</v>
      </c>
    </row>
    <row r="174" spans="1:29" ht="13.9" customHeight="1" x14ac:dyDescent="0.3">
      <c r="B174" s="2465"/>
      <c r="C174" s="1864" t="str">
        <f>IF('0 Úvod'!$M$10="English",Slovnik!D296,Slovnik!C296)</f>
        <v>s těžkým zraněním</v>
      </c>
      <c r="D174" s="1194">
        <v>5033600</v>
      </c>
      <c r="E174" s="2046"/>
      <c r="F174" s="2473"/>
    </row>
    <row r="175" spans="1:29" ht="13.9" customHeight="1" x14ac:dyDescent="0.3">
      <c r="B175" s="2465"/>
      <c r="C175" s="1864" t="str">
        <f>IF('0 Úvod'!$M$10="English",Slovnik!D297,Slovnik!C297)</f>
        <v>s lehkým zraněním</v>
      </c>
      <c r="D175" s="1194">
        <v>649800</v>
      </c>
      <c r="E175" s="2046"/>
      <c r="F175" s="2474"/>
    </row>
    <row r="176" spans="1:29" ht="15" thickBot="1" x14ac:dyDescent="0.35">
      <c r="B176" s="2466"/>
      <c r="C176" s="1211" t="str">
        <f>IF('0 Úvod'!$M$10="English",Slovnik!D298,Slovnik!C298)</f>
        <v>s hmotnou škodou</v>
      </c>
      <c r="D176" s="1195">
        <v>344900</v>
      </c>
      <c r="E176" s="2047"/>
      <c r="F176" s="1196" t="str">
        <f>IF('0 Úvod'!$M$10="English",Slovnik!$D$302,Slovnik!$C$302)</f>
        <v>CZK/nehoda</v>
      </c>
      <c r="G176" s="964"/>
      <c r="H176" s="964"/>
    </row>
    <row r="177" spans="2:13" ht="13.15" customHeight="1" x14ac:dyDescent="0.3">
      <c r="B177" s="1190"/>
      <c r="C177" s="1210" t="str">
        <f>IF('0 Úvod'!$M$10="English",Slovnik!$D$303,Slovnik!$C$303)</f>
        <v>Zdroj: Centrum dopravního výzkumu v.v.i.</v>
      </c>
      <c r="D177" s="1188"/>
      <c r="E177" s="2048"/>
      <c r="F177" s="1188"/>
      <c r="G177" s="801"/>
      <c r="H177" s="964"/>
      <c r="I177" s="964"/>
      <c r="J177" s="964"/>
    </row>
    <row r="178" spans="2:13" ht="13.15" customHeight="1" thickBot="1" x14ac:dyDescent="0.35">
      <c r="B178" s="1190"/>
      <c r="C178" s="1188"/>
      <c r="D178" s="1188"/>
      <c r="E178" s="1188"/>
      <c r="F178" s="1188"/>
      <c r="G178" s="801"/>
      <c r="H178" s="964"/>
      <c r="I178" s="964"/>
      <c r="J178" s="964" t="s">
        <v>2</v>
      </c>
    </row>
    <row r="179" spans="2:13" ht="15" customHeight="1" thickBot="1" x14ac:dyDescent="0.35">
      <c r="B179" s="2459" t="s">
        <v>148</v>
      </c>
      <c r="C179" s="2467" t="str">
        <f>IF('0 Úvod'!$M$10="English",Slovnik!$D$304,Slovnik!$C$304)</f>
        <v>Zjednodušené externí NÁKLADY NEHOD</v>
      </c>
      <c r="D179" s="2468"/>
      <c r="E179" s="2468"/>
      <c r="F179" s="2469"/>
      <c r="G179" s="801"/>
      <c r="H179" s="964"/>
      <c r="I179" s="964"/>
      <c r="J179" s="964"/>
    </row>
    <row r="180" spans="2:13" ht="13.15" customHeight="1" x14ac:dyDescent="0.3">
      <c r="B180" s="2460"/>
      <c r="C180" s="2464" t="str">
        <f>IF('0 Úvod'!$M$10="English",Slovnik!$D$305,Slovnik!$C$305)</f>
        <v>druh dopravy, jednotka</v>
      </c>
      <c r="D180" s="1859" t="str">
        <f>IF('0 Úvod'!$M$10="English",Slovnik!$D$308,Slovnik!$C$308)</f>
        <v>dopravní mód</v>
      </c>
      <c r="E180" s="2462" t="str">
        <f>IF('0 Úvod'!$M$10="English",Slovnik!$D$317,Slovnik!$C$317)</f>
        <v>měrné náklady</v>
      </c>
      <c r="F180" s="2463"/>
      <c r="G180" s="801"/>
      <c r="J180" s="964"/>
    </row>
    <row r="181" spans="2:13" ht="14.25" x14ac:dyDescent="0.3">
      <c r="B181" s="2460"/>
      <c r="C181" s="2457"/>
      <c r="D181" s="1865" t="str">
        <f>C172</f>
        <v>CÚ</v>
      </c>
      <c r="E181" s="1866">
        <v>2017</v>
      </c>
      <c r="F181" s="1867">
        <f>'0 Úvod'!D18</f>
        <v>2020</v>
      </c>
      <c r="G181" s="801"/>
      <c r="J181" s="964"/>
    </row>
    <row r="182" spans="2:13" ht="13.15" customHeight="1" x14ac:dyDescent="0.3">
      <c r="B182" s="2460"/>
      <c r="C182" s="2470" t="str">
        <f>IF('0 Úvod'!$M$10="English",Slovnik!$D$306,Slovnik!$C$306)</f>
        <v>OSOBNÍ DOPRAVA
[CZK/1000 oskm]</v>
      </c>
      <c r="D182" s="1868" t="str">
        <f>IF('0 Úvod'!$M$10="English",Slovnik!D309,Slovnik!C309)</f>
        <v>IAD</v>
      </c>
      <c r="E182" s="1198">
        <v>1039</v>
      </c>
      <c r="F182" s="2046">
        <f>E182*(1+'0 Úvod'!$L$41)*(1+'0 Úvod'!$M$41)*(1+'0 Úvod'!$N$41)*(1+'0 Úvod'!$L$57*$D$524)*(1+'0 Úvod'!$M$57*$D$524)*(1+'0 Úvod'!$N$57*$D$524)</f>
        <v>1174.5616389803483</v>
      </c>
      <c r="G182" s="801"/>
      <c r="J182" s="964"/>
    </row>
    <row r="183" spans="2:13" ht="13.15" customHeight="1" x14ac:dyDescent="0.3">
      <c r="B183" s="2460"/>
      <c r="C183" s="2457"/>
      <c r="D183" s="1868" t="str">
        <f>IF('0 Úvod'!$M$10="English",Slovnik!D310,Slovnik!C310)</f>
        <v>BUS</v>
      </c>
      <c r="E183" s="1199">
        <v>396</v>
      </c>
      <c r="F183" s="2046">
        <f>E183*(1+'0 Úvod'!$L$41)*(1+'0 Úvod'!$M$41)*(1+'0 Úvod'!$N$41)*(1+'0 Úvod'!$L$57*$D$524)*(1+'0 Úvod'!$M$57*$D$524)*(1+'0 Úvod'!$N$57*$D$524)</f>
        <v>447.66738117056587</v>
      </c>
      <c r="G183" s="801"/>
      <c r="J183" s="964"/>
    </row>
    <row r="184" spans="2:13" ht="13.15" customHeight="1" x14ac:dyDescent="0.3">
      <c r="B184" s="2460"/>
      <c r="C184" s="2457"/>
      <c r="D184" s="1868" t="str">
        <f>IF('0 Úvod'!$M$10="English",Slovnik!D311,Slovnik!C311)</f>
        <v>silniční CELKEM</v>
      </c>
      <c r="E184" s="1199">
        <v>1080</v>
      </c>
      <c r="F184" s="2046">
        <f>E184*(1+'0 Úvod'!$L$41)*(1+'0 Úvod'!$M$41)*(1+'0 Úvod'!$N$41)*(1+'0 Úvod'!$L$57*$D$524)*(1+'0 Úvod'!$M$57*$D$524)*(1+'0 Úvod'!$N$57*$D$524)</f>
        <v>1220.9110395560888</v>
      </c>
      <c r="G184" s="801"/>
      <c r="J184" s="964"/>
    </row>
    <row r="185" spans="2:13" ht="14.25" x14ac:dyDescent="0.3">
      <c r="B185" s="2460"/>
      <c r="C185" s="2471"/>
      <c r="D185" s="1868" t="str">
        <f>IF('0 Úvod'!$M$10="English",Slovnik!D312,Slovnik!C312)</f>
        <v>železniční</v>
      </c>
      <c r="E185" s="1199">
        <v>19</v>
      </c>
      <c r="F185" s="2046">
        <f>E185*(1+'0 Úvod'!$L$41)*(1+'0 Úvod'!$M$41)*(1+'0 Úvod'!$N$41)*(1+'0 Úvod'!$L$57*$D$524)*(1+'0 Úvod'!$M$57*$D$524)*(1+'0 Úvod'!$N$57*$D$524)</f>
        <v>21.478990510708964</v>
      </c>
      <c r="G185" s="801"/>
      <c r="J185" s="964"/>
      <c r="K185" s="964"/>
      <c r="L185" s="964"/>
      <c r="M185" s="964"/>
    </row>
    <row r="186" spans="2:13" ht="13.15" customHeight="1" x14ac:dyDescent="0.3">
      <c r="B186" s="2460"/>
      <c r="C186" s="2457" t="str">
        <f>IF('0 Úvod'!$M$10="English",Slovnik!$D$307,Slovnik!$C$307)</f>
        <v>NÁKLADNÍ DOPRAVA
[CZK/1000 tkm]</v>
      </c>
      <c r="D186" s="1868" t="str">
        <f>IF('0 Úvod'!$M$10="English",Slovnik!D313,Slovnik!C313)</f>
        <v>LNV</v>
      </c>
      <c r="E186" s="1199">
        <v>1808</v>
      </c>
      <c r="F186" s="2046">
        <f>E186*(1+'0 Úvod'!$L$41)*(1+'0 Úvod'!$M$41)*(1+'0 Úvod'!$N$41)*(1+'0 Úvod'!$L$57*$D$524)*(1+'0 Úvod'!$M$57*$D$524)*(1+'0 Úvod'!$N$57*$D$524)</f>
        <v>2043.8955180716746</v>
      </c>
      <c r="G186" s="801"/>
      <c r="J186" s="964"/>
    </row>
    <row r="187" spans="2:13" ht="13.15" customHeight="1" x14ac:dyDescent="0.3">
      <c r="B187" s="2460"/>
      <c r="C187" s="2457"/>
      <c r="D187" s="1868" t="str">
        <f>IF('0 Úvod'!$M$10="English",Slovnik!D314,Slovnik!C314)</f>
        <v>TNV</v>
      </c>
      <c r="E187" s="1199">
        <v>328</v>
      </c>
      <c r="F187" s="2046">
        <f>E187*(1+'0 Úvod'!$L$41)*(1+'0 Úvod'!$M$41)*(1+'0 Úvod'!$N$41)*(1+'0 Úvod'!$L$57*$D$524)*(1+'0 Úvod'!$M$57*$D$524)*(1+'0 Úvod'!$N$57*$D$524)</f>
        <v>370.79520460592323</v>
      </c>
      <c r="G187" s="801"/>
      <c r="J187" s="964"/>
    </row>
    <row r="188" spans="2:13" ht="13.15" customHeight="1" x14ac:dyDescent="0.3">
      <c r="B188" s="2460"/>
      <c r="C188" s="2457"/>
      <c r="D188" s="1868" t="str">
        <f>IF('0 Úvod'!$M$10="English",Slovnik!D315,Slovnik!C315)</f>
        <v>silniční CELKEM</v>
      </c>
      <c r="E188" s="1199">
        <v>547</v>
      </c>
      <c r="F188" s="2046">
        <f>E188*(1+'0 Úvod'!$L$41)*(1+'0 Úvod'!$M$41)*(1+'0 Úvod'!$N$41)*(1+'0 Úvod'!$L$57*$D$524)*(1+'0 Úvod'!$M$57*$D$524)*(1+'0 Úvod'!$N$57*$D$524)</f>
        <v>618.36883207146343</v>
      </c>
      <c r="G188" s="801"/>
      <c r="J188" s="964"/>
    </row>
    <row r="189" spans="2:13" ht="15" thickBot="1" x14ac:dyDescent="0.35">
      <c r="B189" s="2461"/>
      <c r="C189" s="2458"/>
      <c r="D189" s="1869" t="str">
        <f>IF('0 Úvod'!$M$10="English",Slovnik!D316,Slovnik!C316)</f>
        <v>železniční</v>
      </c>
      <c r="E189" s="1200">
        <v>6</v>
      </c>
      <c r="F189" s="2047">
        <f>E189*(1+'0 Úvod'!$L$41)*(1+'0 Úvod'!$M$41)*(1+'0 Úvod'!$N$41)*(1+'0 Úvod'!$L$57*$D$524)*(1+'0 Úvod'!$M$57*$D$524)*(1+'0 Úvod'!$N$57*$D$524)</f>
        <v>6.7828391086449376</v>
      </c>
      <c r="G189" s="801"/>
      <c r="J189" s="964"/>
      <c r="K189" s="964"/>
      <c r="L189" s="964"/>
      <c r="M189" s="964"/>
    </row>
    <row r="190" spans="2:13" ht="13.15" customHeight="1" x14ac:dyDescent="0.3">
      <c r="B190" s="1190"/>
      <c r="C190" s="1210" t="str">
        <f>IF('0 Úvod'!$M$10="English",Slovnik!$D$318,Slovnik!$C$318)</f>
        <v>Zdroj: External Costs of Transport in Europe, Delft 2011</v>
      </c>
      <c r="D190" s="1188"/>
      <c r="E190" s="1188"/>
      <c r="F190" s="2048"/>
      <c r="G190" s="801"/>
      <c r="H190" s="964"/>
      <c r="I190" s="964"/>
      <c r="J190" s="964"/>
      <c r="K190" s="964"/>
      <c r="L190" s="964"/>
      <c r="M190" s="964"/>
    </row>
    <row r="191" spans="2:13" ht="13.15" customHeight="1" x14ac:dyDescent="0.3">
      <c r="B191" s="1190"/>
      <c r="C191" s="1201"/>
      <c r="D191" s="1188"/>
      <c r="E191" s="1188"/>
      <c r="F191" s="1188"/>
      <c r="G191" s="801"/>
      <c r="H191" s="964"/>
      <c r="I191" s="964"/>
      <c r="J191" s="964"/>
      <c r="K191" s="964"/>
      <c r="L191" s="964"/>
      <c r="M191" s="964"/>
    </row>
    <row r="192" spans="2:13" ht="13.15" customHeight="1" thickBot="1" x14ac:dyDescent="0.35">
      <c r="B192" s="1190"/>
      <c r="C192" s="1201"/>
      <c r="D192" s="1188"/>
      <c r="E192" s="1188"/>
      <c r="F192" s="1188"/>
      <c r="G192" s="801"/>
      <c r="H192" s="964"/>
      <c r="I192" s="964"/>
      <c r="J192" s="964"/>
      <c r="K192" s="964"/>
      <c r="L192" s="964"/>
      <c r="M192" s="964"/>
    </row>
    <row r="193" spans="2:10" ht="15" customHeight="1" thickBot="1" x14ac:dyDescent="0.35">
      <c r="B193" s="2475" t="s">
        <v>199</v>
      </c>
      <c r="C193" s="2493" t="str">
        <f>IF('0 Úvod'!$M$10="English",Slovnik!$D$319,Slovnik!$C$319)</f>
        <v>Společenské náklady HLUKU</v>
      </c>
      <c r="D193" s="2494"/>
      <c r="E193" s="2494"/>
      <c r="F193" s="2494"/>
      <c r="G193" s="2494"/>
      <c r="H193" s="2494"/>
      <c r="I193" s="2495"/>
    </row>
    <row r="194" spans="2:10" ht="14.25" x14ac:dyDescent="0.3">
      <c r="B194" s="2476"/>
      <c r="C194" s="1187" t="str">
        <f>IF('0 Úvod'!$M$10="English",Slovnik!D320,Slovnik!C320)</f>
        <v>dopravní mód</v>
      </c>
      <c r="D194" s="2496" t="str">
        <f>IF('0 Úvod'!$M$10="English",Slovnik!$D$324,Slovnik!$C$324)</f>
        <v>měrné hodnoty</v>
      </c>
      <c r="E194" s="2462"/>
      <c r="F194" s="2462"/>
      <c r="G194" s="2462"/>
      <c r="H194" s="2463"/>
      <c r="I194" s="2464" t="str">
        <f>F171</f>
        <v>jednotka</v>
      </c>
    </row>
    <row r="195" spans="2:10" ht="15" customHeight="1" thickBot="1" x14ac:dyDescent="0.35">
      <c r="B195" s="2476"/>
      <c r="C195" s="1870" t="str">
        <f>IF('0 Úvod'!$M$10="English",Slovnik!D321,Slovnik!C321)</f>
        <v>hladina hluku v dB(A)</v>
      </c>
      <c r="D195" s="1207" t="s">
        <v>179</v>
      </c>
      <c r="E195" s="1208" t="s">
        <v>180</v>
      </c>
      <c r="F195" s="1208" t="s">
        <v>181</v>
      </c>
      <c r="G195" s="1208" t="s">
        <v>182</v>
      </c>
      <c r="H195" s="1209" t="s">
        <v>183</v>
      </c>
      <c r="I195" s="2458"/>
    </row>
    <row r="196" spans="2:10" ht="13.15" customHeight="1" x14ac:dyDescent="0.3">
      <c r="B196" s="2476"/>
      <c r="C196" s="1871" t="str">
        <f>D181</f>
        <v>CÚ</v>
      </c>
      <c r="D196" s="2497">
        <v>2017</v>
      </c>
      <c r="E196" s="2498"/>
      <c r="F196" s="2498"/>
      <c r="G196" s="2498"/>
      <c r="H196" s="2498"/>
      <c r="I196" s="2499"/>
    </row>
    <row r="197" spans="2:10" ht="13.9" customHeight="1" x14ac:dyDescent="0.3">
      <c r="B197" s="2476"/>
      <c r="C197" s="1864" t="str">
        <f>IF('0 Úvod'!$M$10="English",Slovnik!D322,Slovnik!C322)</f>
        <v>silnice</v>
      </c>
      <c r="D197" s="1197">
        <v>2252</v>
      </c>
      <c r="E197" s="1202">
        <v>3828</v>
      </c>
      <c r="F197" s="1202">
        <v>5436</v>
      </c>
      <c r="G197" s="1202">
        <v>8363</v>
      </c>
      <c r="H197" s="1203">
        <v>11032</v>
      </c>
      <c r="I197" s="2506" t="str">
        <f>IF('0 Úvod'!$M$10="English",Slovnik!$D$325,Slovnik!$C$325)</f>
        <v>CZK/os/rok</v>
      </c>
    </row>
    <row r="198" spans="2:10" ht="15" thickBot="1" x14ac:dyDescent="0.35">
      <c r="B198" s="2476"/>
      <c r="C198" s="1211" t="str">
        <f>IF('0 Úvod'!$M$10="English",Slovnik!D323,Slovnik!C323)</f>
        <v>železnice</v>
      </c>
      <c r="D198" s="1204">
        <v>643</v>
      </c>
      <c r="E198" s="1205">
        <v>2252</v>
      </c>
      <c r="F198" s="1205">
        <v>3828</v>
      </c>
      <c r="G198" s="1205">
        <v>6755</v>
      </c>
      <c r="H198" s="1206">
        <v>9424</v>
      </c>
      <c r="I198" s="2507"/>
    </row>
    <row r="199" spans="2:10" ht="14.25" x14ac:dyDescent="0.3">
      <c r="B199" s="2476"/>
      <c r="C199" s="1863" t="str">
        <f>D181</f>
        <v>CÚ</v>
      </c>
      <c r="D199" s="2500">
        <f>'0 Úvod'!D18</f>
        <v>2020</v>
      </c>
      <c r="E199" s="2501"/>
      <c r="F199" s="2501"/>
      <c r="G199" s="2501"/>
      <c r="H199" s="2501"/>
      <c r="I199" s="2502"/>
    </row>
    <row r="200" spans="2:10" ht="14.25" x14ac:dyDescent="0.3">
      <c r="B200" s="2476"/>
      <c r="C200" s="1864" t="str">
        <f>IF('0 Úvod'!$M$10="English",Slovnik!D322,Slovnik!C322)</f>
        <v>silnice</v>
      </c>
      <c r="D200" s="2049"/>
      <c r="E200" s="1217"/>
      <c r="F200" s="1217"/>
      <c r="G200" s="1217"/>
      <c r="H200" s="2050"/>
      <c r="I200" s="2473" t="str">
        <f>IF('0 Úvod'!$M$10="English",Slovnik!$D$325,Slovnik!$C$325)</f>
        <v>CZK/os/rok</v>
      </c>
    </row>
    <row r="201" spans="2:10" ht="15" thickBot="1" x14ac:dyDescent="0.35">
      <c r="B201" s="2477"/>
      <c r="C201" s="1211" t="str">
        <f>IF('0 Úvod'!$M$10="English",Slovnik!D323,Slovnik!C323)</f>
        <v>železnice</v>
      </c>
      <c r="D201" s="2051"/>
      <c r="E201" s="2052"/>
      <c r="F201" s="2052"/>
      <c r="G201" s="2052"/>
      <c r="H201" s="2053"/>
      <c r="I201" s="2508"/>
    </row>
    <row r="202" spans="2:10" ht="13.15" customHeight="1" x14ac:dyDescent="0.3">
      <c r="B202" s="1190"/>
      <c r="C202" s="1210" t="str">
        <f>C190</f>
        <v>Zdroj: External Costs of Transport in Europe, Delft 2011</v>
      </c>
      <c r="D202" s="2048"/>
      <c r="E202" s="2048"/>
      <c r="F202" s="2048"/>
      <c r="G202" s="2085"/>
      <c r="H202" s="1592"/>
      <c r="I202" s="964"/>
      <c r="J202" s="964"/>
    </row>
    <row r="203" spans="2:10" ht="13.15" customHeight="1" thickBot="1" x14ac:dyDescent="0.35">
      <c r="B203" s="1190"/>
      <c r="C203" s="1188"/>
      <c r="D203" s="1188"/>
      <c r="E203" s="1188"/>
      <c r="F203" s="1188"/>
      <c r="G203" s="801"/>
      <c r="H203" s="964"/>
      <c r="I203" s="964"/>
      <c r="J203" s="964" t="s">
        <v>2</v>
      </c>
    </row>
    <row r="204" spans="2:10" ht="15" customHeight="1" thickBot="1" x14ac:dyDescent="0.35">
      <c r="B204" s="2475" t="s">
        <v>200</v>
      </c>
      <c r="C204" s="2493" t="str">
        <f>IF('0 Úvod'!$M$10="English",Slovnik!$D$326,Slovnik!$C$326)</f>
        <v>Zjednodušené externí NÁKLADY HLUKU</v>
      </c>
      <c r="D204" s="2494"/>
      <c r="E204" s="2494"/>
      <c r="F204" s="2495"/>
      <c r="G204" s="801"/>
      <c r="H204" s="964"/>
      <c r="I204" s="964"/>
      <c r="J204" s="964"/>
    </row>
    <row r="205" spans="2:10" ht="13.15" customHeight="1" x14ac:dyDescent="0.3">
      <c r="B205" s="2476"/>
      <c r="C205" s="2464" t="str">
        <f>IF('0 Úvod'!$M$10="English",Slovnik!$D$327,Slovnik!$C$327)</f>
        <v>druh dopravy, jednotka</v>
      </c>
      <c r="D205" s="1859" t="str">
        <f>D180</f>
        <v>dopravní mód</v>
      </c>
      <c r="E205" s="2462" t="str">
        <f>E180</f>
        <v>měrné náklady</v>
      </c>
      <c r="F205" s="2463"/>
      <c r="G205" s="801"/>
      <c r="J205" s="964"/>
    </row>
    <row r="206" spans="2:10" ht="14.25" x14ac:dyDescent="0.3">
      <c r="B206" s="2476"/>
      <c r="C206" s="2457"/>
      <c r="D206" s="1865" t="str">
        <f>D181</f>
        <v>CÚ</v>
      </c>
      <c r="E206" s="1866">
        <v>2017</v>
      </c>
      <c r="F206" s="1867">
        <f>'0 Úvod'!D18</f>
        <v>2020</v>
      </c>
      <c r="G206" s="801"/>
      <c r="J206" s="964"/>
    </row>
    <row r="207" spans="2:10" ht="13.15" customHeight="1" x14ac:dyDescent="0.3">
      <c r="B207" s="2476"/>
      <c r="C207" s="2470" t="str">
        <f>IF('0 Úvod'!$M$10="English",Slovnik!$D$328,Slovnik!$C$328)</f>
        <v>OSOBNÍ DOPRAVA
[CZK/1000 oskm]</v>
      </c>
      <c r="D207" s="1868" t="str">
        <f>D182</f>
        <v>IAD</v>
      </c>
      <c r="E207" s="2055">
        <v>55</v>
      </c>
      <c r="F207" s="1192">
        <f>E207*(1+'0 Úvod'!$L$41)*(1+'0 Úvod'!$M$41)*(1+'0 Úvod'!$N$41)*(1+'0 Úvod'!$L$57*$D$524)*(1+'0 Úvod'!$M$57*$D$524)*(1+'0 Úvod'!$N$57*$D$524)</f>
        <v>62.176025162578597</v>
      </c>
      <c r="G207" s="2086"/>
      <c r="J207" s="964"/>
    </row>
    <row r="208" spans="2:10" ht="13.15" customHeight="1" x14ac:dyDescent="0.3">
      <c r="B208" s="2476"/>
      <c r="C208" s="2457"/>
      <c r="D208" s="1868" t="str">
        <f>D183</f>
        <v>BUS</v>
      </c>
      <c r="E208" s="2056">
        <v>51</v>
      </c>
      <c r="F208" s="1192">
        <f>E208*(1+'0 Úvod'!$L$41)*(1+'0 Úvod'!$M$41)*(1+'0 Úvod'!$N$41)*(1+'0 Úvod'!$L$57*$D$524)*(1+'0 Úvod'!$M$57*$D$524)*(1+'0 Úvod'!$N$57*$D$524)</f>
        <v>57.654132423481975</v>
      </c>
      <c r="G208" s="2086"/>
      <c r="J208" s="964"/>
    </row>
    <row r="209" spans="2:13" ht="14.25" x14ac:dyDescent="0.3">
      <c r="B209" s="2476"/>
      <c r="C209" s="2471"/>
      <c r="D209" s="1868" t="str">
        <f>D185</f>
        <v>železniční</v>
      </c>
      <c r="E209" s="2056">
        <v>39</v>
      </c>
      <c r="F209" s="1192">
        <f>E209*(1+'0 Úvod'!$L$41)*(1+'0 Úvod'!$M$41)*(1+'0 Úvod'!$N$41)*(1+'0 Úvod'!$L$57*$D$524)*(1+'0 Úvod'!$M$57*$D$524)*(1+'0 Úvod'!$N$57*$D$524)</f>
        <v>44.08845420619209</v>
      </c>
      <c r="G209" s="2086"/>
      <c r="J209" s="964"/>
      <c r="K209" s="964"/>
      <c r="L209" s="964"/>
      <c r="M209" s="964"/>
    </row>
    <row r="210" spans="2:13" ht="13.15" customHeight="1" x14ac:dyDescent="0.3">
      <c r="B210" s="2476"/>
      <c r="C210" s="2457" t="str">
        <f>IF('0 Úvod'!$M$10="English",Slovnik!$D$329,Slovnik!$C$329)</f>
        <v>NÁKLADNÍ DOPRAVA
[CZK/1000 tkm]</v>
      </c>
      <c r="D210" s="1868" t="str">
        <f>D186</f>
        <v>LNV</v>
      </c>
      <c r="E210" s="2056">
        <v>203</v>
      </c>
      <c r="F210" s="1192">
        <f>E210*(1+'0 Úvod'!$L$41)*(1+'0 Úvod'!$M$41)*(1+'0 Úvod'!$N$41)*(1+'0 Úvod'!$L$57*$D$524)*(1+'0 Úvod'!$M$57*$D$524)*(1+'0 Úvod'!$N$57*$D$524)</f>
        <v>229.48605650915371</v>
      </c>
      <c r="G210" s="2086"/>
      <c r="J210" s="964"/>
    </row>
    <row r="211" spans="2:13" ht="13.15" customHeight="1" x14ac:dyDescent="0.3">
      <c r="B211" s="2476"/>
      <c r="C211" s="2457"/>
      <c r="D211" s="1868" t="str">
        <f>D187</f>
        <v>TNV</v>
      </c>
      <c r="E211" s="2056">
        <v>58</v>
      </c>
      <c r="F211" s="1192">
        <f>E211*(1+'0 Úvod'!$L$41)*(1+'0 Úvod'!$M$41)*(1+'0 Úvod'!$N$41)*(1+'0 Úvod'!$L$57*$D$524)*(1+'0 Úvod'!$M$57*$D$524)*(1+'0 Úvod'!$N$57*$D$524)</f>
        <v>65.567444716901065</v>
      </c>
      <c r="G211" s="2086"/>
      <c r="J211" s="964"/>
    </row>
    <row r="212" spans="2:13" ht="15" thickBot="1" x14ac:dyDescent="0.35">
      <c r="B212" s="2477"/>
      <c r="C212" s="2458"/>
      <c r="D212" s="1869" t="str">
        <f>D189</f>
        <v>železniční</v>
      </c>
      <c r="E212" s="2057">
        <v>32</v>
      </c>
      <c r="F212" s="2054">
        <f>E212*(1+'0 Úvod'!$L$41)*(1+'0 Úvod'!$M$41)*(1+'0 Úvod'!$N$41)*(1+'0 Úvod'!$L$57*$D$524)*(1+'0 Úvod'!$M$57*$D$524)*(1+'0 Úvod'!$N$57*$D$524)</f>
        <v>36.175141912773007</v>
      </c>
      <c r="G212" s="2086"/>
      <c r="J212" s="964"/>
      <c r="K212" s="964"/>
      <c r="L212" s="964"/>
      <c r="M212" s="964"/>
    </row>
    <row r="213" spans="2:13" ht="13.15" customHeight="1" x14ac:dyDescent="0.3">
      <c r="B213" s="1190"/>
      <c r="C213" s="1210" t="str">
        <f>C202</f>
        <v>Zdroj: External Costs of Transport in Europe, Delft 2011</v>
      </c>
      <c r="D213" s="1188"/>
      <c r="E213" s="1188"/>
      <c r="F213" s="2048"/>
      <c r="G213" s="801"/>
      <c r="H213" s="964"/>
      <c r="I213" s="964"/>
      <c r="J213" s="964"/>
      <c r="K213" s="964"/>
      <c r="L213" s="964"/>
      <c r="M213" s="964"/>
    </row>
    <row r="214" spans="2:13" ht="13.15" customHeight="1" x14ac:dyDescent="0.3">
      <c r="B214" s="1190"/>
      <c r="C214" s="1201"/>
      <c r="D214" s="1188"/>
      <c r="E214" s="1188"/>
      <c r="F214" s="1188"/>
      <c r="G214" s="801"/>
      <c r="H214" s="964"/>
      <c r="I214" s="964"/>
      <c r="J214" s="964"/>
      <c r="K214" s="964"/>
      <c r="L214" s="964"/>
      <c r="M214" s="964"/>
    </row>
    <row r="215" spans="2:13" ht="13.15" customHeight="1" thickBot="1" x14ac:dyDescent="0.35">
      <c r="B215" s="1190"/>
      <c r="C215" s="1201"/>
      <c r="D215" s="1188"/>
      <c r="E215" s="1188"/>
      <c r="F215" s="1188"/>
      <c r="G215" s="801"/>
      <c r="H215" s="964"/>
      <c r="I215" s="964"/>
      <c r="J215" s="964"/>
      <c r="K215" s="964"/>
      <c r="L215" s="964"/>
      <c r="M215" s="964"/>
    </row>
    <row r="216" spans="2:13" ht="15" customHeight="1" thickBot="1" x14ac:dyDescent="0.35">
      <c r="B216" s="2478" t="s">
        <v>201</v>
      </c>
      <c r="C216" s="2503" t="str">
        <f>IF('0 Úvod'!$M$10="English",Slovnik!$D$330,Slovnik!$C$330)</f>
        <v>Společenské náklady ZNEČIŠTĚNÍ ŽIVOTNÍHO PROSTŘEDÍ a emisí SKLENÍKOVÝCH PLYNŮ</v>
      </c>
      <c r="D216" s="2504"/>
      <c r="E216" s="2504"/>
      <c r="F216" s="2504"/>
      <c r="G216" s="2504"/>
      <c r="H216" s="2504"/>
      <c r="I216" s="2504"/>
      <c r="J216" s="2505"/>
    </row>
    <row r="217" spans="2:13" ht="14.25" x14ac:dyDescent="0.3">
      <c r="B217" s="2479"/>
      <c r="C217" s="1187" t="str">
        <f>IF('0 Úvod'!$M$10="English",Slovnik!D331,Slovnik!C331)</f>
        <v>charakter zástavby</v>
      </c>
      <c r="D217" s="2482" t="str">
        <f>D194</f>
        <v>měrné hodnoty</v>
      </c>
      <c r="E217" s="2483"/>
      <c r="F217" s="2483"/>
      <c r="G217" s="2483"/>
      <c r="H217" s="2483"/>
      <c r="I217" s="2484"/>
      <c r="J217" s="2464" t="str">
        <f>I194</f>
        <v>jednotka</v>
      </c>
    </row>
    <row r="218" spans="2:13" ht="15" customHeight="1" thickBot="1" x14ac:dyDescent="0.35">
      <c r="B218" s="2479"/>
      <c r="C218" s="1870" t="str">
        <f>IF('0 Úvod'!$M$10="English",Slovnik!D332,Slovnik!C332)</f>
        <v>plutant</v>
      </c>
      <c r="D218" s="1207" t="s">
        <v>185</v>
      </c>
      <c r="E218" s="1208" t="s">
        <v>186</v>
      </c>
      <c r="F218" s="1208" t="s">
        <v>187</v>
      </c>
      <c r="G218" s="1208" t="s">
        <v>184</v>
      </c>
      <c r="H218" s="1208" t="s">
        <v>188</v>
      </c>
      <c r="I218" s="1209" t="s">
        <v>189</v>
      </c>
      <c r="J218" s="2458"/>
    </row>
    <row r="219" spans="2:13" ht="14.25" x14ac:dyDescent="0.3">
      <c r="B219" s="2479"/>
      <c r="C219" s="1871" t="str">
        <f>C196</f>
        <v>CÚ</v>
      </c>
      <c r="D219" s="2497">
        <v>2017</v>
      </c>
      <c r="E219" s="2498"/>
      <c r="F219" s="2498"/>
      <c r="G219" s="2498"/>
      <c r="H219" s="2498"/>
      <c r="I219" s="2498"/>
      <c r="J219" s="2499"/>
    </row>
    <row r="220" spans="2:13" ht="13.9" customHeight="1" x14ac:dyDescent="0.3">
      <c r="B220" s="2479"/>
      <c r="C220" s="1864" t="str">
        <f>IF('0 Úvod'!$M$10="English",Slovnik!D334,Slovnik!C333)</f>
        <v>mimo město</v>
      </c>
      <c r="D220" s="2485">
        <v>2877</v>
      </c>
      <c r="E220" s="2487">
        <v>504724</v>
      </c>
      <c r="F220" s="2487">
        <v>451145</v>
      </c>
      <c r="G220" s="2487">
        <v>52685</v>
      </c>
      <c r="H220" s="1218">
        <v>1375556</v>
      </c>
      <c r="I220" s="1219">
        <v>551095</v>
      </c>
      <c r="J220" s="2506" t="s">
        <v>190</v>
      </c>
    </row>
    <row r="221" spans="2:13" ht="13.9" customHeight="1" x14ac:dyDescent="0.3">
      <c r="B221" s="2479"/>
      <c r="C221" s="1864" t="str">
        <f>IF('0 Úvod'!$M$10="English",Slovnik!D335,Slovnik!C334)</f>
        <v>předměstí</v>
      </c>
      <c r="D221" s="2485"/>
      <c r="E221" s="2487"/>
      <c r="F221" s="2487"/>
      <c r="G221" s="2487"/>
      <c r="H221" s="1213">
        <v>2187533</v>
      </c>
      <c r="I221" s="1214">
        <v>875725</v>
      </c>
      <c r="J221" s="2473"/>
    </row>
    <row r="222" spans="2:13" ht="15" thickBot="1" x14ac:dyDescent="0.35">
      <c r="B222" s="2479"/>
      <c r="C222" s="1211" t="str">
        <f>IF('0 Úvod'!$M$10="English",Slovnik!D336,Slovnik!C335)</f>
        <v>město</v>
      </c>
      <c r="D222" s="2486"/>
      <c r="E222" s="2488"/>
      <c r="F222" s="2488"/>
      <c r="G222" s="2488"/>
      <c r="H222" s="1215">
        <v>6894628</v>
      </c>
      <c r="I222" s="1216">
        <v>2760095</v>
      </c>
      <c r="J222" s="2507"/>
    </row>
    <row r="223" spans="2:13" ht="14.25" x14ac:dyDescent="0.3">
      <c r="B223" s="2479"/>
      <c r="C223" s="1863" t="str">
        <f>D206</f>
        <v>CÚ</v>
      </c>
      <c r="D223" s="2500">
        <f>'0 Úvod'!D18</f>
        <v>2020</v>
      </c>
      <c r="E223" s="2501"/>
      <c r="F223" s="2501"/>
      <c r="G223" s="2501"/>
      <c r="H223" s="2501"/>
      <c r="I223" s="2501"/>
      <c r="J223" s="2502"/>
    </row>
    <row r="224" spans="2:13" ht="14.25" x14ac:dyDescent="0.3">
      <c r="B224" s="2479"/>
      <c r="C224" s="1864" t="str">
        <f>IF('0 Úvod'!$M$10="English",Slovnik!D334,Slovnik!C333)</f>
        <v>mimo město</v>
      </c>
      <c r="D224" s="2489">
        <f>D220*(1+'0 Úvod'!$L$41)*(1+'0 Úvod'!$M$41)*(1+'0 Úvod'!$N$41)*(1+'0 Úvod'!$L$57*$D$524)*(1+'0 Úvod'!$M$57*$D$524)*(1+'0 Úvod'!$N$57*$D$524)</f>
        <v>3252.3713525952476</v>
      </c>
      <c r="E224" s="2491">
        <f>E220*(1+'0 Úvod'!$L$41)*(1+'0 Úvod'!$M$41)*(1+'0 Úvod'!$N$41)*(1+'0 Úvod'!$L$57*$D$524)*(1+'0 Úvod'!$M$57*$D$524)*(1+'0 Úvod'!$N$57*$D$524)</f>
        <v>570576.94771195122</v>
      </c>
      <c r="F224" s="2491">
        <f>F220*(1+'0 Úvod'!$L$41)*(1+'0 Úvod'!$M$41)*(1+'0 Úvod'!$N$41)*(1+'0 Úvod'!$L$57*$D$524)*(1+'0 Úvod'!$M$57*$D$524)*(1+'0 Úvod'!$N$57*$D$524)</f>
        <v>510007.32494493673</v>
      </c>
      <c r="G224" s="2491">
        <f>G220*(1+'0 Úvod'!$L$41)*(1+'0 Úvod'!$M$41)*(1+'0 Úvod'!$N$41)*(1+'0 Úvod'!$L$57*$D$524)*(1+'0 Úvod'!$M$57*$D$524)*(1+'0 Úvod'!$N$57*$D$524)</f>
        <v>59558.979739826427</v>
      </c>
      <c r="H224" s="1217">
        <f>H220*(1+'0 Úvod'!$L$41)*(1+'0 Úvod'!$M$41)*(1+'0 Úvod'!$N$41)*(1+'0 Úvod'!$L$57*$D$524)*(1+'0 Úvod'!$M$57*$D$524)*(1+'0 Úvod'!$N$57*$D$524)</f>
        <v>1555029.1721551996</v>
      </c>
      <c r="I224" s="2058">
        <f>I220*(1+'0 Úvod'!$L$41)*(1+'0 Úvod'!$M$41)*(1+'0 Úvod'!$N$41)*(1+'0 Úvod'!$L$57*$D$524)*(1+'0 Úvod'!$M$57*$D$524)*(1+'0 Úvod'!$N$57*$D$524)</f>
        <v>622998.11976311367</v>
      </c>
      <c r="J224" s="2506" t="s">
        <v>190</v>
      </c>
    </row>
    <row r="225" spans="2:15" ht="14.25" x14ac:dyDescent="0.3">
      <c r="B225" s="2479"/>
      <c r="C225" s="1864" t="str">
        <f>IF('0 Úvod'!$M$10="English",Slovnik!D335,Slovnik!C334)</f>
        <v>předměstí</v>
      </c>
      <c r="D225" s="2489"/>
      <c r="E225" s="2491"/>
      <c r="F225" s="2491"/>
      <c r="G225" s="2491"/>
      <c r="H225" s="1212">
        <f>H221*(1+'0 Úvod'!$L$41)*(1+'0 Úvod'!$M$41)*(1+'0 Úvod'!$N$41)*(1+'0 Úvod'!$L$57*$D$524)*(1+'0 Úvod'!$M$57*$D$524)*(1+'0 Úvod'!$N$57*$D$524)</f>
        <v>2472947.3973085647</v>
      </c>
      <c r="I225" s="2053">
        <f>I221*(1+'0 Úvod'!$L$41)*(1+'0 Úvod'!$M$41)*(1+'0 Úvod'!$N$41)*(1+'0 Úvod'!$L$57*$D$524)*(1+'0 Úvod'!$M$57*$D$524)*(1+'0 Úvod'!$N$57*$D$524)</f>
        <v>989983.62973634794</v>
      </c>
      <c r="J225" s="2473"/>
    </row>
    <row r="226" spans="2:15" ht="15" thickBot="1" x14ac:dyDescent="0.35">
      <c r="B226" s="2480"/>
      <c r="C226" s="1211" t="str">
        <f>IF('0 Úvod'!$M$10="English",Slovnik!D336,Slovnik!C335)</f>
        <v>město</v>
      </c>
      <c r="D226" s="2490"/>
      <c r="E226" s="2492"/>
      <c r="F226" s="2492"/>
      <c r="G226" s="2492"/>
      <c r="H226" s="2052">
        <f>H222*(1+'0 Úvod'!$L$41)*(1+'0 Úvod'!$M$41)*(1+'0 Úvod'!$N$41)*(1+'0 Úvod'!$L$57*$D$524)*(1+'0 Úvod'!$M$57*$D$524)*(1+'0 Úvod'!$N$57*$D$524)</f>
        <v>7794192.0729930708</v>
      </c>
      <c r="I226" s="2053">
        <f>I222*(1+'0 Úvod'!$L$41)*(1+'0 Úvod'!$M$41)*(1+'0 Úvod'!$N$41)*(1+'0 Úvod'!$L$57*$D$524)*(1+'0 Úvod'!$M$57*$D$524)*(1+'0 Úvod'!$N$57*$D$524)</f>
        <v>3120213.3849292244</v>
      </c>
      <c r="J226" s="2508"/>
    </row>
    <row r="227" spans="2:15" ht="13.15" customHeight="1" x14ac:dyDescent="0.3">
      <c r="B227" s="1190"/>
      <c r="C227" s="1210" t="str">
        <f>IF('0 Úvod'!$M$10="English",Slovnik!$E$342,Slovnik!$E$341)</f>
        <v>Zdroj: Aktualizovaná příručka o externích nákladech dopravy, RICARDO-AEA, zpráva pro EK, GŘ pro dopravu a mobilitu, vyd. 01/2014</v>
      </c>
      <c r="D227" s="1188"/>
      <c r="E227" s="1188"/>
      <c r="F227" s="1188"/>
      <c r="G227" s="1188"/>
      <c r="H227" s="1592"/>
      <c r="I227" s="1592"/>
      <c r="J227" s="964"/>
    </row>
    <row r="228" spans="2:15" ht="13.15" customHeight="1" x14ac:dyDescent="0.3">
      <c r="B228" s="1190"/>
      <c r="C228" s="1220" t="str">
        <f>IF('0 Úvod'!$M$10="English",Slovnik!$E$345,Slovnik!$E$344)</f>
        <v>Pozn: město - nad 1500 obyvatel/km2; předměstí - 300 obyvatel/km2; mimo město - méně než 150 obyvatel/km2</v>
      </c>
      <c r="D228" s="1188"/>
      <c r="E228" s="1188"/>
      <c r="F228" s="1188"/>
      <c r="G228" s="1188"/>
      <c r="H228" s="964"/>
      <c r="I228" s="964"/>
      <c r="J228" s="964"/>
    </row>
    <row r="229" spans="2:15" ht="13.15" customHeight="1" thickBot="1" x14ac:dyDescent="0.35">
      <c r="B229" s="1190"/>
      <c r="C229" s="1188"/>
      <c r="D229" s="1188"/>
      <c r="E229" s="1188"/>
      <c r="F229" s="1188"/>
      <c r="G229" s="1188"/>
      <c r="H229" s="964"/>
      <c r="I229" s="964"/>
      <c r="J229" s="964" t="s">
        <v>2</v>
      </c>
    </row>
    <row r="230" spans="2:15" ht="15" customHeight="1" thickBot="1" x14ac:dyDescent="0.35">
      <c r="B230" s="2478" t="s">
        <v>202</v>
      </c>
      <c r="C230" s="2503" t="str">
        <f>IF('0 Úvod'!$M$10="English",Slovnik!$D$338,Slovnik!$C$336)</f>
        <v>EMISNÍ FAKTORY sledovaných polutantů nákladní dopravy</v>
      </c>
      <c r="D230" s="2504"/>
      <c r="E230" s="2504"/>
      <c r="F230" s="2504"/>
      <c r="G230" s="2504"/>
      <c r="H230" s="2504"/>
      <c r="I230" s="2505"/>
    </row>
    <row r="231" spans="2:15" ht="13.15" customHeight="1" thickBot="1" x14ac:dyDescent="0.35">
      <c r="B231" s="2479"/>
      <c r="C231" s="2509" t="str">
        <f>IF('0 Úvod'!$M$10="English",Slovnik!$D$337,Slovnik!$C$337)</f>
        <v>emisní faktor - OSOBNÍ DOPRAVA</v>
      </c>
      <c r="D231" s="2510"/>
      <c r="E231" s="2510"/>
      <c r="F231" s="2510"/>
      <c r="G231" s="2510"/>
      <c r="H231" s="2510"/>
      <c r="I231" s="2511"/>
      <c r="J231" s="2087"/>
      <c r="M231" s="2087"/>
      <c r="O231" s="2087"/>
    </row>
    <row r="232" spans="2:15" ht="14.25" customHeight="1" x14ac:dyDescent="0.3">
      <c r="B232" s="2479"/>
      <c r="C232" s="2464" t="str">
        <f>IF('0 Úvod'!$M$10="English",Slovnik!$D$338,Slovnik!$C$338)</f>
        <v>dopravní mód, jednotka</v>
      </c>
      <c r="D232" s="1221" t="str">
        <f>IF('0 Úvod'!$M$10="English",Slovnik!D341,Slovnik!C341)</f>
        <v>polutant</v>
      </c>
      <c r="E232" s="1222" t="s">
        <v>185</v>
      </c>
      <c r="F232" s="1223" t="s">
        <v>186</v>
      </c>
      <c r="G232" s="1223" t="s">
        <v>187</v>
      </c>
      <c r="H232" s="1223" t="s">
        <v>188</v>
      </c>
      <c r="I232" s="1224" t="s">
        <v>189</v>
      </c>
      <c r="J232" s="2087"/>
      <c r="M232" s="2087"/>
      <c r="O232" s="2087"/>
    </row>
    <row r="233" spans="2:15" ht="15" thickBot="1" x14ac:dyDescent="0.35">
      <c r="B233" s="2479"/>
      <c r="C233" s="2481"/>
      <c r="D233" s="1225" t="str">
        <f>C219</f>
        <v>CÚ</v>
      </c>
      <c r="E233" s="2512">
        <v>2017</v>
      </c>
      <c r="F233" s="2513"/>
      <c r="G233" s="2513"/>
      <c r="H233" s="2513"/>
      <c r="I233" s="2514"/>
      <c r="J233" s="2087"/>
      <c r="M233" s="2087"/>
      <c r="O233" s="2087"/>
    </row>
    <row r="234" spans="2:15" ht="13.15" customHeight="1" x14ac:dyDescent="0.3">
      <c r="B234" s="2479"/>
      <c r="C234" s="2457" t="str">
        <f>IF('0 Úvod'!$M$10="English",Slovnik!$D$339,Slovnik!$C$339)</f>
        <v>SILNIČNÍ DOPRAVA
[g/vozokm]</v>
      </c>
      <c r="D234" s="1872" t="str">
        <f>IF('0 Úvod'!$M$10="English",Slovnik!D343,Slovnik!C342)</f>
        <v>IAD</v>
      </c>
      <c r="E234" s="1226">
        <v>188</v>
      </c>
      <c r="F234" s="1227">
        <v>0.51200000000000001</v>
      </c>
      <c r="G234" s="1227">
        <v>5.4999999999999997E-3</v>
      </c>
      <c r="H234" s="1227">
        <v>2.9000000000000001E-2</v>
      </c>
      <c r="I234" s="1703">
        <v>5.0999999999999997E-2</v>
      </c>
    </row>
    <row r="235" spans="2:15" ht="13.15" customHeight="1" x14ac:dyDescent="0.3">
      <c r="B235" s="2479"/>
      <c r="C235" s="2457"/>
      <c r="D235" s="1873" t="str">
        <f>IF('0 Úvod'!$M$10="English",Slovnik!D344,Slovnik!C343)</f>
        <v>BUS</v>
      </c>
      <c r="E235" s="1226">
        <v>556</v>
      </c>
      <c r="F235" s="1227">
        <v>5.0199999999999996</v>
      </c>
      <c r="G235" s="1227">
        <v>5.3999999999999999E-2</v>
      </c>
      <c r="H235" s="1227">
        <v>0.10299999999999999</v>
      </c>
      <c r="I235" s="1703">
        <v>0.99</v>
      </c>
    </row>
    <row r="236" spans="2:15" ht="15" thickBot="1" x14ac:dyDescent="0.35">
      <c r="B236" s="2479"/>
      <c r="C236" s="2481"/>
      <c r="D236" s="1874" t="str">
        <f>IF('0 Úvod'!$M$10="English",Slovnik!D345,Slovnik!C344)</f>
        <v>CELKEM</v>
      </c>
      <c r="E236" s="1228">
        <v>186</v>
      </c>
      <c r="F236" s="1229">
        <v>0.61299999999999999</v>
      </c>
      <c r="G236" s="1229">
        <v>6.6E-3</v>
      </c>
      <c r="H236" s="1229">
        <v>3.7999999999999999E-2</v>
      </c>
      <c r="I236" s="1704">
        <v>5.1999999999999998E-2</v>
      </c>
    </row>
    <row r="237" spans="2:15" ht="13.15" customHeight="1" x14ac:dyDescent="0.3">
      <c r="B237" s="2479"/>
      <c r="C237" s="2464" t="str">
        <f>IF('0 Úvod'!$M$10="English",Slovnik!$D$340,Slovnik!$C$340)</f>
        <v>ŽELEZNIČNÍ DOPRAVA
[g/vlkm]</v>
      </c>
      <c r="D237" s="1872" t="str">
        <f>IF('0 Úvod'!$M$10="English",Slovnik!D346,Slovnik!C345)</f>
        <v>dieslová trakce</v>
      </c>
      <c r="E237" s="1230">
        <v>1658.71</v>
      </c>
      <c r="F237" s="1231">
        <v>0.64780000000000004</v>
      </c>
      <c r="G237" s="1231">
        <v>5.1999999999999998E-3</v>
      </c>
      <c r="H237" s="1231">
        <v>1.0755999999999999</v>
      </c>
      <c r="I237" s="1705">
        <v>6.3414000000000001</v>
      </c>
    </row>
    <row r="238" spans="2:15" ht="15" thickBot="1" x14ac:dyDescent="0.35">
      <c r="B238" s="2479"/>
      <c r="C238" s="2457"/>
      <c r="D238" s="1874" t="str">
        <f>IF('0 Úvod'!$M$10="English",Slovnik!D347,Slovnik!C346)</f>
        <v>elektrická trakce</v>
      </c>
      <c r="E238" s="1226">
        <v>77.790000000000006</v>
      </c>
      <c r="F238" s="1227">
        <v>3.04E-2</v>
      </c>
      <c r="G238" s="1227">
        <v>2.0000000000000001E-4</v>
      </c>
      <c r="H238" s="1227">
        <v>5.04E-2</v>
      </c>
      <c r="I238" s="1703">
        <v>0.2974</v>
      </c>
    </row>
    <row r="239" spans="2:15" ht="13.15" customHeight="1" thickBot="1" x14ac:dyDescent="0.35">
      <c r="B239" s="2479"/>
      <c r="C239" s="2509" t="str">
        <f>IF('0 Úvod'!$M$10="English",Slovnik!$D$347,Slovnik!$C$347)</f>
        <v>emisní faktor - NÁKLADNÍ DOPRAVA</v>
      </c>
      <c r="D239" s="2510"/>
      <c r="E239" s="2510"/>
      <c r="F239" s="2510"/>
      <c r="G239" s="2510"/>
      <c r="H239" s="2510"/>
      <c r="I239" s="2511"/>
    </row>
    <row r="240" spans="2:15" ht="13.15" customHeight="1" x14ac:dyDescent="0.3">
      <c r="B240" s="2479"/>
      <c r="C240" s="2457" t="str">
        <f>IF('0 Úvod'!$M$10="English",Slovnik!$D$339,Slovnik!$C$339)</f>
        <v>SILNIČNÍ DOPRAVA
[g/vozokm]</v>
      </c>
      <c r="D240" s="1872" t="str">
        <f>IF('0 Úvod'!$M$10="English",Slovnik!D348,Slovnik!C348)</f>
        <v>LNV</v>
      </c>
      <c r="E240" s="1706">
        <v>221</v>
      </c>
      <c r="F240" s="1707">
        <v>0.69399999999999995</v>
      </c>
      <c r="G240" s="1707">
        <v>2.5000000000000001E-3</v>
      </c>
      <c r="H240" s="1707">
        <v>4.4999999999999998E-2</v>
      </c>
      <c r="I240" s="1708">
        <v>0.59</v>
      </c>
    </row>
    <row r="241" spans="1:29" ht="13.15" customHeight="1" x14ac:dyDescent="0.3">
      <c r="B241" s="2479"/>
      <c r="C241" s="2457"/>
      <c r="D241" s="1873" t="str">
        <f>IF('0 Úvod'!$M$10="English",Slovnik!D349,Slovnik!C349)</f>
        <v>TNV</v>
      </c>
      <c r="E241" s="1226">
        <v>721</v>
      </c>
      <c r="F241" s="1227">
        <v>7.6260000000000003</v>
      </c>
      <c r="G241" s="1227">
        <v>2.7400000000000001E-2</v>
      </c>
      <c r="H241" s="1227">
        <v>0.20200000000000001</v>
      </c>
      <c r="I241" s="1703">
        <v>0.111</v>
      </c>
    </row>
    <row r="242" spans="1:29" ht="15" thickBot="1" x14ac:dyDescent="0.35">
      <c r="B242" s="2479"/>
      <c r="C242" s="2481"/>
      <c r="D242" s="1874" t="str">
        <f>IF('0 Úvod'!$M$10="English",Slovnik!D350,Slovnik!C350)</f>
        <v>CELKEM</v>
      </c>
      <c r="E242" s="1228">
        <v>393</v>
      </c>
      <c r="F242" s="1229">
        <v>3.0739999999999998</v>
      </c>
      <c r="G242" s="1229">
        <v>1.0999999999999999E-2</v>
      </c>
      <c r="H242" s="1229">
        <v>9.9000000000000005E-2</v>
      </c>
      <c r="I242" s="1704">
        <v>7.6999999999999999E-2</v>
      </c>
    </row>
    <row r="243" spans="1:29" ht="14.25" x14ac:dyDescent="0.3">
      <c r="B243" s="2479"/>
      <c r="C243" s="2464" t="str">
        <f>IF('0 Úvod'!$M$10="English",Slovnik!$D$340,Slovnik!$C$340)</f>
        <v>ŽELEZNIČNÍ DOPRAVA
[g/vlkm]</v>
      </c>
      <c r="D243" s="1872" t="str">
        <f>IF('0 Úvod'!$M$10="English",Slovnik!D351,Slovnik!C351)</f>
        <v>dieslová trakce</v>
      </c>
      <c r="E243" s="1230">
        <v>11156.65</v>
      </c>
      <c r="F243" s="1231">
        <v>4.3528000000000002</v>
      </c>
      <c r="G243" s="1231">
        <v>3.4599999999999999E-2</v>
      </c>
      <c r="H243" s="1231">
        <v>7.2256999999999998</v>
      </c>
      <c r="I243" s="1705">
        <v>92.748900000000006</v>
      </c>
    </row>
    <row r="244" spans="1:29" ht="15" thickBot="1" x14ac:dyDescent="0.35">
      <c r="B244" s="2479"/>
      <c r="C244" s="2457"/>
      <c r="D244" s="1874" t="str">
        <f>IF('0 Úvod'!$M$10="English",Slovnik!D352,Slovnik!C352)</f>
        <v>elektrická trakce</v>
      </c>
      <c r="E244" s="1232">
        <v>523.19000000000005</v>
      </c>
      <c r="F244" s="1233">
        <v>0.2041</v>
      </c>
      <c r="G244" s="1233">
        <v>1.6000000000000001E-3</v>
      </c>
      <c r="H244" s="1233">
        <v>0.33889999999999998</v>
      </c>
      <c r="I244" s="1709">
        <v>4.3494999999999999</v>
      </c>
    </row>
    <row r="245" spans="1:29" ht="15" thickBot="1" x14ac:dyDescent="0.35">
      <c r="B245" s="2480"/>
      <c r="C245" s="2509" t="str">
        <f>IF('0 Úvod'!$M$10="English",Slovnik!$D$353,Slovnik!$C$353)</f>
        <v>VODNÍ DOPRAVA [g/vozokm]</v>
      </c>
      <c r="D245" s="2511"/>
      <c r="E245" s="1234">
        <v>22226</v>
      </c>
      <c r="F245" s="1235">
        <v>370.1</v>
      </c>
      <c r="G245" s="1235">
        <v>2.9456000000000002</v>
      </c>
      <c r="H245" s="1235">
        <v>10.7</v>
      </c>
      <c r="I245" s="1710" t="s">
        <v>128</v>
      </c>
    </row>
    <row r="246" spans="1:29" ht="13.15" customHeight="1" x14ac:dyDescent="0.3">
      <c r="B246" s="1190"/>
      <c r="C246" s="1210" t="str">
        <f>C213</f>
        <v>Zdroj: External Costs of Transport in Europe, Delft 2011</v>
      </c>
      <c r="D246" s="1188"/>
      <c r="E246" s="1188"/>
      <c r="F246" s="1188"/>
      <c r="G246" s="1188"/>
      <c r="H246" s="964"/>
      <c r="I246" s="964"/>
      <c r="J246" s="964"/>
      <c r="K246" s="964"/>
      <c r="L246" s="964"/>
      <c r="M246" s="964"/>
    </row>
    <row r="247" spans="1:29" ht="13.15" customHeight="1" thickBot="1" x14ac:dyDescent="0.35">
      <c r="B247" s="1190"/>
      <c r="C247" s="1201"/>
      <c r="D247" s="1188"/>
      <c r="E247" s="1188"/>
      <c r="F247" s="1188"/>
      <c r="G247" s="1188"/>
      <c r="H247" s="964"/>
      <c r="I247" s="964"/>
      <c r="J247" s="964">
        <v>0.20655830182059179</v>
      </c>
      <c r="K247" s="964"/>
      <c r="L247" s="964"/>
      <c r="M247" s="964"/>
    </row>
    <row r="248" spans="1:29" ht="14.25" thickBot="1" x14ac:dyDescent="0.35">
      <c r="A248" s="1260"/>
      <c r="B248" s="1261"/>
      <c r="C248" s="1261"/>
      <c r="D248" s="1261"/>
      <c r="E248" s="1261"/>
      <c r="F248" s="1261"/>
      <c r="G248" s="1261"/>
      <c r="H248" s="1261"/>
      <c r="I248" s="1261"/>
      <c r="J248" s="1261"/>
      <c r="K248" s="1261"/>
      <c r="L248" s="1261"/>
      <c r="M248" s="1261"/>
      <c r="N248" s="1261"/>
      <c r="O248" s="1261"/>
      <c r="P248" s="1261"/>
      <c r="Q248" s="1261"/>
      <c r="R248" s="1261"/>
      <c r="S248" s="1261"/>
      <c r="T248" s="1261"/>
      <c r="U248" s="1261"/>
      <c r="V248" s="1261"/>
      <c r="W248" s="1262"/>
    </row>
    <row r="249" spans="1:29" ht="14.25" x14ac:dyDescent="0.3">
      <c r="A249" s="1272"/>
      <c r="B249" s="1156" t="s">
        <v>149</v>
      </c>
      <c r="C249" s="897" t="str">
        <f>IF('0 Úvod'!$M$10="English",Slovnik!$D$369,Slovnik!$C$369)</f>
        <v>Celkové vozokm / vlkm</v>
      </c>
      <c r="D249" s="898"/>
      <c r="E249" s="2363">
        <f>E2</f>
        <v>2021</v>
      </c>
      <c r="F249" s="2361">
        <f t="shared" ref="F249:S249" si="46">E249+1</f>
        <v>2022</v>
      </c>
      <c r="G249" s="2361">
        <f t="shared" si="46"/>
        <v>2023</v>
      </c>
      <c r="H249" s="2361">
        <f t="shared" si="46"/>
        <v>2024</v>
      </c>
      <c r="I249" s="2361">
        <f t="shared" si="46"/>
        <v>2025</v>
      </c>
      <c r="J249" s="2361">
        <f t="shared" si="46"/>
        <v>2026</v>
      </c>
      <c r="K249" s="2361">
        <f t="shared" si="46"/>
        <v>2027</v>
      </c>
      <c r="L249" s="2361">
        <f t="shared" si="46"/>
        <v>2028</v>
      </c>
      <c r="M249" s="2361">
        <f t="shared" si="46"/>
        <v>2029</v>
      </c>
      <c r="N249" s="2361">
        <f t="shared" si="46"/>
        <v>2030</v>
      </c>
      <c r="O249" s="2361">
        <f t="shared" si="46"/>
        <v>2031</v>
      </c>
      <c r="P249" s="2361">
        <f t="shared" si="46"/>
        <v>2032</v>
      </c>
      <c r="Q249" s="2361">
        <f t="shared" si="46"/>
        <v>2033</v>
      </c>
      <c r="R249" s="2361">
        <f t="shared" si="46"/>
        <v>2034</v>
      </c>
      <c r="S249" s="2365">
        <f t="shared" si="46"/>
        <v>2035</v>
      </c>
      <c r="T249" s="1263"/>
      <c r="U249" s="2464" t="str">
        <f>IF('0 Úvod'!$M$10="English",Slovnik!D743,Slovnik!C743)</f>
        <v>obsazenost, ložení</v>
      </c>
      <c r="V249" s="2464" t="str">
        <f>IF('0 Úvod'!$M$10="English",Slovnik!D300,Slovnik!C300)</f>
        <v>jednotka</v>
      </c>
      <c r="W249" s="1268"/>
      <c r="X249" s="669"/>
      <c r="Y249" s="669"/>
      <c r="Z249" s="669"/>
      <c r="AA249" s="669"/>
      <c r="AB249" s="669"/>
      <c r="AC249" s="669"/>
    </row>
    <row r="250" spans="1:29" ht="15" thickBot="1" x14ac:dyDescent="0.35">
      <c r="A250" s="1272"/>
      <c r="B250" s="600" t="s">
        <v>23</v>
      </c>
      <c r="C250" s="840" t="str">
        <f>C3</f>
        <v>Scénář s projektem</v>
      </c>
      <c r="D250" s="696" t="str">
        <f>D141</f>
        <v>Celkem</v>
      </c>
      <c r="E250" s="2364"/>
      <c r="F250" s="2362"/>
      <c r="G250" s="2362"/>
      <c r="H250" s="2362"/>
      <c r="I250" s="2362"/>
      <c r="J250" s="2362"/>
      <c r="K250" s="2362"/>
      <c r="L250" s="2362"/>
      <c r="M250" s="2362"/>
      <c r="N250" s="2362"/>
      <c r="O250" s="2362"/>
      <c r="P250" s="2362"/>
      <c r="Q250" s="2362"/>
      <c r="R250" s="2362"/>
      <c r="S250" s="2366"/>
      <c r="T250" s="1263"/>
      <c r="U250" s="2481"/>
      <c r="V250" s="2458"/>
      <c r="W250" s="1268"/>
      <c r="X250" s="669"/>
      <c r="Y250" s="669"/>
      <c r="Z250" s="669"/>
      <c r="AA250" s="669"/>
      <c r="AB250" s="669"/>
      <c r="AC250" s="669"/>
    </row>
    <row r="251" spans="1:29" ht="14.25" x14ac:dyDescent="0.3">
      <c r="A251" s="1272"/>
      <c r="B251" s="2516" t="str">
        <f>IF('0 Úvod'!$M$10="English",Slovnik!$D$367,Slovnik!$C$367)</f>
        <v>ŽELEZNIČNÍ
DOPRAVA</v>
      </c>
      <c r="C251" s="607" t="str">
        <f>IF('0 Úvod'!$M$10="English",Slovnik!D355,Slovnik!C355)</f>
        <v>osobní - DIESLOVÁ trakce</v>
      </c>
      <c r="D251" s="605">
        <f>SUM(E251:S251,E266:S266)</f>
        <v>0</v>
      </c>
      <c r="E251" s="2193"/>
      <c r="F251" s="1151"/>
      <c r="G251" s="1151"/>
      <c r="H251" s="1151"/>
      <c r="I251" s="1151"/>
      <c r="J251" s="1151"/>
      <c r="K251" s="1151"/>
      <c r="L251" s="1151"/>
      <c r="M251" s="1151"/>
      <c r="N251" s="1151"/>
      <c r="O251" s="1151"/>
      <c r="P251" s="1151"/>
      <c r="Q251" s="1151"/>
      <c r="R251" s="1151"/>
      <c r="S251" s="2194"/>
      <c r="T251" s="2064"/>
      <c r="U251" s="1243"/>
      <c r="V251" s="2523" t="str">
        <f>IF('0 Úvod'!$M$10="English",Slovnik!D744,Slovnik!C744)</f>
        <v>osob/vlak</v>
      </c>
      <c r="W251" s="1271"/>
      <c r="X251" s="587"/>
      <c r="Y251" s="587"/>
      <c r="Z251" s="587"/>
      <c r="AA251" s="587"/>
      <c r="AB251" s="587"/>
      <c r="AC251" s="590"/>
    </row>
    <row r="252" spans="1:29" ht="14.25" x14ac:dyDescent="0.3">
      <c r="A252" s="1272"/>
      <c r="B252" s="2517"/>
      <c r="C252" s="607" t="str">
        <f>IF('0 Úvod'!$M$10="English",Slovnik!D356,Slovnik!C356)</f>
        <v>osobní - ELEKTRICKÁ trakce</v>
      </c>
      <c r="D252" s="608">
        <f t="shared" ref="D252:D262" si="47">SUM(E252:S252,E267:S267)</f>
        <v>19068.768</v>
      </c>
      <c r="E252" s="2195"/>
      <c r="F252" s="691"/>
      <c r="G252" s="691"/>
      <c r="H252" s="691"/>
      <c r="I252" s="691"/>
      <c r="J252" s="691"/>
      <c r="K252" s="691"/>
      <c r="L252" s="691"/>
      <c r="M252" s="691"/>
      <c r="N252" s="691"/>
      <c r="O252" s="691"/>
      <c r="P252" s="691"/>
      <c r="Q252" s="691"/>
      <c r="R252" s="691"/>
      <c r="S252" s="2196"/>
      <c r="T252" s="2064"/>
      <c r="U252" s="1243">
        <v>116.89461339203854</v>
      </c>
      <c r="V252" s="2515"/>
      <c r="W252" s="1271"/>
      <c r="X252" s="587"/>
      <c r="Y252" s="587"/>
      <c r="Z252" s="587"/>
      <c r="AA252" s="587"/>
      <c r="AB252" s="587"/>
      <c r="AC252" s="590"/>
    </row>
    <row r="253" spans="1:29" ht="14.25" x14ac:dyDescent="0.3">
      <c r="A253" s="1272"/>
      <c r="B253" s="2517"/>
      <c r="C253" s="607" t="str">
        <f>IF('0 Úvod'!$M$10="English",Slovnik!D357,Slovnik!C357)</f>
        <v>nákladní - DIESLOVÁ trakce</v>
      </c>
      <c r="D253" s="608">
        <f t="shared" si="47"/>
        <v>0</v>
      </c>
      <c r="E253" s="2195"/>
      <c r="F253" s="691"/>
      <c r="G253" s="691"/>
      <c r="H253" s="691"/>
      <c r="I253" s="691"/>
      <c r="J253" s="691"/>
      <c r="K253" s="691"/>
      <c r="L253" s="691"/>
      <c r="M253" s="691"/>
      <c r="N253" s="691"/>
      <c r="O253" s="691"/>
      <c r="P253" s="691"/>
      <c r="Q253" s="691"/>
      <c r="R253" s="691"/>
      <c r="S253" s="2196"/>
      <c r="T253" s="2064"/>
      <c r="U253" s="1243"/>
      <c r="V253" s="2515" t="str">
        <f>IF('0 Úvod'!$M$10="English",Slovnik!D745,Slovnik!C745)</f>
        <v>t/vlak</v>
      </c>
      <c r="W253" s="1271"/>
      <c r="X253" s="587"/>
      <c r="Y253" s="587"/>
      <c r="Z253" s="587"/>
      <c r="AA253" s="587"/>
      <c r="AB253" s="587"/>
      <c r="AC253" s="590"/>
    </row>
    <row r="254" spans="1:29" ht="14.25" x14ac:dyDescent="0.3">
      <c r="A254" s="1272"/>
      <c r="B254" s="2517"/>
      <c r="C254" s="607" t="str">
        <f>IF('0 Úvod'!$M$10="English",Slovnik!D358,Slovnik!C358)</f>
        <v>nákladní - ELEKTRICKÁ trakce</v>
      </c>
      <c r="D254" s="608">
        <f t="shared" si="47"/>
        <v>33346300</v>
      </c>
      <c r="E254" s="2195"/>
      <c r="F254" s="691"/>
      <c r="G254" s="691"/>
      <c r="H254" s="691"/>
      <c r="I254" s="691"/>
      <c r="J254" s="691">
        <v>1333852</v>
      </c>
      <c r="K254" s="691">
        <v>1333852</v>
      </c>
      <c r="L254" s="691">
        <v>1333852</v>
      </c>
      <c r="M254" s="691">
        <v>1333852</v>
      </c>
      <c r="N254" s="691">
        <v>1333852</v>
      </c>
      <c r="O254" s="691">
        <v>1333852</v>
      </c>
      <c r="P254" s="691">
        <v>1333852</v>
      </c>
      <c r="Q254" s="691">
        <v>1333852</v>
      </c>
      <c r="R254" s="691">
        <v>1333852</v>
      </c>
      <c r="S254" s="2196">
        <v>1333852</v>
      </c>
      <c r="T254" s="2064"/>
      <c r="U254" s="1243">
        <v>30</v>
      </c>
      <c r="V254" s="2515"/>
      <c r="W254" s="1271"/>
      <c r="X254" s="587"/>
      <c r="Y254" s="587"/>
      <c r="Z254" s="587"/>
      <c r="AA254" s="587"/>
      <c r="AB254" s="587"/>
      <c r="AC254" s="590"/>
    </row>
    <row r="255" spans="1:29" ht="14.25" x14ac:dyDescent="0.3">
      <c r="A255" s="1272"/>
      <c r="B255" s="2518" t="str">
        <f>IF('0 Úvod'!$M$10="English",Slovnik!$D$368,Slovnik!$C$368)</f>
        <v>SILNIČNÍ
DOPRAVA</v>
      </c>
      <c r="C255" s="1244" t="str">
        <f>IF('0 Úvod'!$M$10="English",Slovnik!D359,Slovnik!C359)</f>
        <v>osobní - IAD</v>
      </c>
      <c r="D255" s="611">
        <f t="shared" si="47"/>
        <v>0</v>
      </c>
      <c r="E255" s="2197"/>
      <c r="F255" s="2061"/>
      <c r="G255" s="2061"/>
      <c r="H255" s="2061"/>
      <c r="I255" s="2061"/>
      <c r="J255" s="2061"/>
      <c r="K255" s="2061"/>
      <c r="L255" s="2061"/>
      <c r="M255" s="2061"/>
      <c r="N255" s="2061"/>
      <c r="O255" s="2061"/>
      <c r="P255" s="2061"/>
      <c r="Q255" s="2061"/>
      <c r="R255" s="2061"/>
      <c r="S255" s="2198"/>
      <c r="T255" s="2064"/>
      <c r="U255" s="1243">
        <v>1.7</v>
      </c>
      <c r="V255" s="2515" t="str">
        <f>IF('0 Úvod'!$M$10="English",Slovnik!D746,Slovnik!C746)</f>
        <v>os/vozidlo</v>
      </c>
      <c r="W255" s="1271"/>
      <c r="X255" s="587"/>
      <c r="Y255" s="587"/>
      <c r="Z255" s="587"/>
      <c r="AA255" s="587"/>
      <c r="AB255" s="587"/>
      <c r="AC255" s="590"/>
    </row>
    <row r="256" spans="1:29" ht="14.25" x14ac:dyDescent="0.3">
      <c r="A256" s="1272"/>
      <c r="B256" s="2517"/>
      <c r="C256" s="1245" t="str">
        <f>IF('0 Úvod'!$M$10="English",Slovnik!D360,Slovnik!C360)</f>
        <v>osobní - BUS</v>
      </c>
      <c r="D256" s="608">
        <f t="shared" si="47"/>
        <v>105178</v>
      </c>
      <c r="E256" s="2195"/>
      <c r="F256" s="691"/>
      <c r="G256" s="691"/>
      <c r="H256" s="691"/>
      <c r="I256" s="691"/>
      <c r="J256" s="691"/>
      <c r="K256" s="691"/>
      <c r="L256" s="691"/>
      <c r="M256" s="691"/>
      <c r="N256" s="691"/>
      <c r="O256" s="691"/>
      <c r="P256" s="691"/>
      <c r="Q256" s="691"/>
      <c r="R256" s="691"/>
      <c r="S256" s="2196"/>
      <c r="T256" s="2064"/>
      <c r="U256" s="1243">
        <v>36</v>
      </c>
      <c r="V256" s="2515"/>
      <c r="W256" s="1271"/>
      <c r="X256" s="587"/>
      <c r="Y256" s="587"/>
      <c r="Z256" s="587"/>
      <c r="AA256" s="587"/>
      <c r="AB256" s="587"/>
      <c r="AC256" s="590"/>
    </row>
    <row r="257" spans="1:29" ht="14.25" x14ac:dyDescent="0.3">
      <c r="A257" s="1272"/>
      <c r="B257" s="2517"/>
      <c r="C257" s="1245" t="str">
        <f>IF('0 Úvod'!$M$10="English",Slovnik!D361,Slovnik!C361)</f>
        <v>nákladní - LNV</v>
      </c>
      <c r="D257" s="608">
        <f t="shared" si="47"/>
        <v>0</v>
      </c>
      <c r="E257" s="2195"/>
      <c r="F257" s="691"/>
      <c r="G257" s="691"/>
      <c r="H257" s="691"/>
      <c r="I257" s="691"/>
      <c r="J257" s="691"/>
      <c r="K257" s="691"/>
      <c r="L257" s="691"/>
      <c r="M257" s="691"/>
      <c r="N257" s="691"/>
      <c r="O257" s="691"/>
      <c r="P257" s="691"/>
      <c r="Q257" s="691"/>
      <c r="R257" s="691"/>
      <c r="S257" s="2196"/>
      <c r="T257" s="2064"/>
      <c r="U257" s="1243"/>
      <c r="V257" s="2515" t="str">
        <f>IF('0 Úvod'!$M$10="English",Slovnik!D747,Slovnik!C747)</f>
        <v>t/vozidlo</v>
      </c>
      <c r="W257" s="1271"/>
      <c r="X257" s="587"/>
      <c r="Y257" s="587"/>
      <c r="Z257" s="587"/>
      <c r="AA257" s="587"/>
      <c r="AB257" s="587"/>
      <c r="AC257" s="590"/>
    </row>
    <row r="258" spans="1:29" ht="14.25" x14ac:dyDescent="0.3">
      <c r="A258" s="1272"/>
      <c r="B258" s="2517"/>
      <c r="C258" s="1245" t="str">
        <f>IF('0 Úvod'!$M$10="English",Slovnik!D362,Slovnik!C362)</f>
        <v>nákladní - TNV</v>
      </c>
      <c r="D258" s="608">
        <f t="shared" si="47"/>
        <v>0</v>
      </c>
      <c r="E258" s="2195"/>
      <c r="F258" s="691"/>
      <c r="G258" s="691"/>
      <c r="H258" s="691"/>
      <c r="I258" s="691"/>
      <c r="J258" s="691"/>
      <c r="K258" s="691"/>
      <c r="L258" s="691"/>
      <c r="M258" s="691"/>
      <c r="N258" s="691"/>
      <c r="O258" s="691"/>
      <c r="P258" s="691"/>
      <c r="Q258" s="691"/>
      <c r="R258" s="691"/>
      <c r="S258" s="2196"/>
      <c r="T258" s="2064"/>
      <c r="U258" s="1243">
        <v>17.5</v>
      </c>
      <c r="V258" s="2515"/>
      <c r="W258" s="1271"/>
      <c r="X258" s="587"/>
      <c r="Y258" s="587"/>
      <c r="Z258" s="587"/>
      <c r="AA258" s="587"/>
      <c r="AB258" s="587"/>
      <c r="AC258" s="590"/>
    </row>
    <row r="259" spans="1:29" ht="14.25" x14ac:dyDescent="0.3">
      <c r="A259" s="1272"/>
      <c r="B259" s="2519"/>
      <c r="C259" s="1244" t="str">
        <f>IF('0 Úvod'!$M$10="English",Slovnik!D363,Slovnik!C363)</f>
        <v>vodní osobní doprava</v>
      </c>
      <c r="D259" s="611">
        <f t="shared" si="47"/>
        <v>0</v>
      </c>
      <c r="E259" s="2197"/>
      <c r="F259" s="2061"/>
      <c r="G259" s="2061"/>
      <c r="H259" s="2061"/>
      <c r="I259" s="2061"/>
      <c r="J259" s="2061"/>
      <c r="K259" s="2061"/>
      <c r="L259" s="2061"/>
      <c r="M259" s="2061"/>
      <c r="N259" s="2061"/>
      <c r="O259" s="2061"/>
      <c r="P259" s="2061"/>
      <c r="Q259" s="2061"/>
      <c r="R259" s="2061"/>
      <c r="S259" s="2198"/>
      <c r="T259" s="2064"/>
      <c r="U259" s="1243"/>
      <c r="V259" s="1877" t="str">
        <f>IF('0 Úvod'!$M$10="English",Slovnik!D748,Slovnik!C748)</f>
        <v>os/plavidlo</v>
      </c>
      <c r="W259" s="1271"/>
      <c r="X259" s="587"/>
      <c r="Y259" s="587"/>
      <c r="Z259" s="587"/>
      <c r="AA259" s="587"/>
      <c r="AB259" s="587"/>
      <c r="AC259" s="590"/>
    </row>
    <row r="260" spans="1:29" ht="14.25" x14ac:dyDescent="0.3">
      <c r="A260" s="1272"/>
      <c r="B260" s="2520"/>
      <c r="C260" s="1246" t="str">
        <f>IF('0 Úvod'!$M$10="English",Slovnik!D364,Slovnik!C364)</f>
        <v>vodní nákladní doprava</v>
      </c>
      <c r="D260" s="1238">
        <f t="shared" si="47"/>
        <v>0</v>
      </c>
      <c r="E260" s="2199"/>
      <c r="F260" s="1241"/>
      <c r="G260" s="1241"/>
      <c r="H260" s="1241"/>
      <c r="I260" s="1241"/>
      <c r="J260" s="1241"/>
      <c r="K260" s="1241"/>
      <c r="L260" s="1241"/>
      <c r="M260" s="1241"/>
      <c r="N260" s="1241"/>
      <c r="O260" s="1241"/>
      <c r="P260" s="1241"/>
      <c r="Q260" s="1241"/>
      <c r="R260" s="1241"/>
      <c r="S260" s="2200"/>
      <c r="T260" s="2064"/>
      <c r="U260" s="1243"/>
      <c r="V260" s="1877" t="str">
        <f>IF('0 Úvod'!$M$10="English",Slovnik!D749,Slovnik!C749)</f>
        <v>t/plavidlo</v>
      </c>
      <c r="W260" s="1271"/>
      <c r="X260" s="587"/>
      <c r="Y260" s="587"/>
      <c r="Z260" s="587"/>
      <c r="AA260" s="587"/>
      <c r="AB260" s="587"/>
      <c r="AC260" s="590"/>
    </row>
    <row r="261" spans="1:29" ht="14.25" x14ac:dyDescent="0.3">
      <c r="A261" s="1272"/>
      <c r="B261" s="2521"/>
      <c r="C261" s="1245" t="str">
        <f>IF('0 Úvod'!$M$10="English",Slovnik!D365,Slovnik!C365)</f>
        <v>ostatní osobní doprava</v>
      </c>
      <c r="D261" s="608">
        <f t="shared" si="47"/>
        <v>0</v>
      </c>
      <c r="E261" s="2195"/>
      <c r="F261" s="691"/>
      <c r="G261" s="691"/>
      <c r="H261" s="691"/>
      <c r="I261" s="691"/>
      <c r="J261" s="691"/>
      <c r="K261" s="691"/>
      <c r="L261" s="691"/>
      <c r="M261" s="691"/>
      <c r="N261" s="691"/>
      <c r="O261" s="691"/>
      <c r="P261" s="691"/>
      <c r="Q261" s="691"/>
      <c r="R261" s="691"/>
      <c r="S261" s="2196"/>
      <c r="T261" s="2064"/>
      <c r="U261" s="1243"/>
      <c r="V261" s="1877" t="str">
        <f>IF('0 Úvod'!$M$10="English",Slovnik!D746,Slovnik!C746)</f>
        <v>os/vozidlo</v>
      </c>
      <c r="W261" s="1271"/>
      <c r="X261" s="587"/>
      <c r="Y261" s="587"/>
      <c r="Z261" s="587"/>
      <c r="AA261" s="587"/>
      <c r="AB261" s="587"/>
      <c r="AC261" s="590"/>
    </row>
    <row r="262" spans="1:29" ht="15" thickBot="1" x14ac:dyDescent="0.35">
      <c r="A262" s="1272"/>
      <c r="B262" s="2522"/>
      <c r="C262" s="1248" t="str">
        <f>IF('0 Úvod'!$M$10="English",Slovnik!D366,Slovnik!C366)</f>
        <v>ostatní nákladní doprava</v>
      </c>
      <c r="D262" s="1250">
        <f t="shared" si="47"/>
        <v>0</v>
      </c>
      <c r="E262" s="2201"/>
      <c r="F262" s="2202"/>
      <c r="G262" s="2202"/>
      <c r="H262" s="2202"/>
      <c r="I262" s="2202"/>
      <c r="J262" s="2202"/>
      <c r="K262" s="2202"/>
      <c r="L262" s="2202"/>
      <c r="M262" s="2202"/>
      <c r="N262" s="2202"/>
      <c r="O262" s="2202"/>
      <c r="P262" s="2202"/>
      <c r="Q262" s="2202"/>
      <c r="R262" s="2202"/>
      <c r="S262" s="2203"/>
      <c r="T262" s="2064"/>
      <c r="U262" s="2059"/>
      <c r="V262" s="1878" t="str">
        <f>IF('0 Úvod'!$M$10="English",Slovnik!D747,Slovnik!C747)</f>
        <v>t/vozidlo</v>
      </c>
      <c r="W262" s="1271"/>
      <c r="X262" s="587"/>
      <c r="Y262" s="587"/>
      <c r="Z262" s="587"/>
      <c r="AA262" s="587"/>
      <c r="AB262" s="587"/>
      <c r="AC262" s="590"/>
    </row>
    <row r="263" spans="1:29" ht="14.25" thickBot="1" x14ac:dyDescent="0.35">
      <c r="A263" s="1272"/>
      <c r="B263" s="1273"/>
      <c r="C263" s="1266"/>
      <c r="D263" s="1264"/>
      <c r="E263" s="2060"/>
      <c r="F263" s="2060"/>
      <c r="G263" s="2060"/>
      <c r="H263" s="2060"/>
      <c r="I263" s="2060"/>
      <c r="J263" s="2060"/>
      <c r="K263" s="2060"/>
      <c r="L263" s="2060"/>
      <c r="M263" s="2060"/>
      <c r="N263" s="2060"/>
      <c r="O263" s="2060"/>
      <c r="P263" s="2060"/>
      <c r="Q263" s="2060"/>
      <c r="R263" s="2060"/>
      <c r="S263" s="2060"/>
      <c r="T263" s="1264"/>
      <c r="U263" s="2060"/>
      <c r="V263" s="1264"/>
      <c r="W263" s="1267"/>
      <c r="X263" s="590"/>
      <c r="Y263" s="590"/>
      <c r="Z263" s="590"/>
      <c r="AA263" s="590"/>
      <c r="AB263" s="590"/>
      <c r="AC263" s="590"/>
    </row>
    <row r="264" spans="1:29" ht="14.25" x14ac:dyDescent="0.3">
      <c r="A264" s="1272"/>
      <c r="B264" s="1156" t="str">
        <f>B249</f>
        <v>6.7.</v>
      </c>
      <c r="C264" s="839" t="str">
        <f>C249</f>
        <v>Celkové vozokm / vlkm</v>
      </c>
      <c r="D264" s="899"/>
      <c r="E264" s="2363">
        <f>S249+1</f>
        <v>2036</v>
      </c>
      <c r="F264" s="2361">
        <f t="shared" ref="F264:S264" si="48">E264+1</f>
        <v>2037</v>
      </c>
      <c r="G264" s="2361">
        <f t="shared" si="48"/>
        <v>2038</v>
      </c>
      <c r="H264" s="2361">
        <f t="shared" si="48"/>
        <v>2039</v>
      </c>
      <c r="I264" s="2361">
        <f t="shared" si="48"/>
        <v>2040</v>
      </c>
      <c r="J264" s="2361">
        <f t="shared" si="48"/>
        <v>2041</v>
      </c>
      <c r="K264" s="2361">
        <f t="shared" si="48"/>
        <v>2042</v>
      </c>
      <c r="L264" s="2361">
        <f t="shared" si="48"/>
        <v>2043</v>
      </c>
      <c r="M264" s="2361">
        <f t="shared" si="48"/>
        <v>2044</v>
      </c>
      <c r="N264" s="2361">
        <f t="shared" si="48"/>
        <v>2045</v>
      </c>
      <c r="O264" s="2361">
        <f t="shared" si="48"/>
        <v>2046</v>
      </c>
      <c r="P264" s="2361">
        <f t="shared" si="48"/>
        <v>2047</v>
      </c>
      <c r="Q264" s="2361">
        <f t="shared" si="48"/>
        <v>2048</v>
      </c>
      <c r="R264" s="2361">
        <f t="shared" si="48"/>
        <v>2049</v>
      </c>
      <c r="S264" s="2365">
        <f t="shared" si="48"/>
        <v>2050</v>
      </c>
      <c r="T264" s="1263"/>
      <c r="U264" s="1263"/>
      <c r="V264" s="1263"/>
      <c r="W264" s="1268"/>
      <c r="X264" s="669"/>
      <c r="Y264" s="669"/>
      <c r="Z264" s="669"/>
      <c r="AA264" s="669"/>
      <c r="AB264" s="669"/>
      <c r="AC264" s="669"/>
    </row>
    <row r="265" spans="1:29" ht="15" thickBot="1" x14ac:dyDescent="0.35">
      <c r="A265" s="1272"/>
      <c r="B265" s="600" t="s">
        <v>24</v>
      </c>
      <c r="C265" s="840" t="str">
        <f t="shared" ref="C265:C277" si="49">C250</f>
        <v>Scénář s projektem</v>
      </c>
      <c r="D265" s="1256"/>
      <c r="E265" s="2364"/>
      <c r="F265" s="2362"/>
      <c r="G265" s="2362"/>
      <c r="H265" s="2362"/>
      <c r="I265" s="2362"/>
      <c r="J265" s="2362"/>
      <c r="K265" s="2362"/>
      <c r="L265" s="2362"/>
      <c r="M265" s="2362"/>
      <c r="N265" s="2362"/>
      <c r="O265" s="2362"/>
      <c r="P265" s="2362"/>
      <c r="Q265" s="2362"/>
      <c r="R265" s="2362"/>
      <c r="S265" s="2366"/>
      <c r="T265" s="1263"/>
      <c r="U265" s="1263"/>
      <c r="V265" s="1263"/>
      <c r="W265" s="1268"/>
      <c r="X265" s="669"/>
      <c r="Y265" s="669"/>
      <c r="Z265" s="669"/>
      <c r="AA265" s="669"/>
      <c r="AB265" s="669"/>
      <c r="AC265" s="669"/>
    </row>
    <row r="266" spans="1:29" ht="14.25" x14ac:dyDescent="0.3">
      <c r="A266" s="1272"/>
      <c r="B266" s="2516" t="str">
        <f>B251</f>
        <v>ŽELEZNIČNÍ
DOPRAVA</v>
      </c>
      <c r="C266" s="604" t="str">
        <f t="shared" si="49"/>
        <v>osobní - DIESLOVÁ trakce</v>
      </c>
      <c r="D266" s="912"/>
      <c r="E266" s="1151"/>
      <c r="F266" s="692"/>
      <c r="G266" s="692"/>
      <c r="H266" s="692"/>
      <c r="I266" s="692"/>
      <c r="J266" s="692"/>
      <c r="K266" s="692"/>
      <c r="L266" s="692"/>
      <c r="M266" s="692"/>
      <c r="N266" s="692"/>
      <c r="O266" s="692"/>
      <c r="P266" s="692"/>
      <c r="Q266" s="692"/>
      <c r="R266" s="692"/>
      <c r="S266" s="2204"/>
      <c r="T266" s="2065"/>
      <c r="U266" s="1264"/>
      <c r="V266" s="1264"/>
      <c r="W266" s="1267"/>
      <c r="X266" s="590"/>
      <c r="Y266" s="590"/>
      <c r="Z266" s="590"/>
      <c r="AA266" s="590"/>
      <c r="AB266" s="590"/>
      <c r="AC266" s="590"/>
    </row>
    <row r="267" spans="1:29" ht="14.25" x14ac:dyDescent="0.3">
      <c r="A267" s="1272"/>
      <c r="B267" s="2517"/>
      <c r="C267" s="607" t="str">
        <f t="shared" si="49"/>
        <v>osobní - ELEKTRICKÁ trakce</v>
      </c>
      <c r="D267" s="913"/>
      <c r="E267" s="691"/>
      <c r="F267" s="693"/>
      <c r="G267" s="693"/>
      <c r="H267" s="693"/>
      <c r="I267" s="693"/>
      <c r="J267" s="693"/>
      <c r="K267" s="693"/>
      <c r="L267" s="693"/>
      <c r="M267" s="693"/>
      <c r="N267" s="693"/>
      <c r="O267" s="693"/>
      <c r="P267" s="693"/>
      <c r="Q267" s="691">
        <v>19068.768</v>
      </c>
      <c r="R267" s="693"/>
      <c r="S267" s="2205"/>
      <c r="T267" s="2065"/>
      <c r="U267" s="1264"/>
      <c r="V267" s="1264"/>
      <c r="W267" s="1267"/>
      <c r="X267" s="590"/>
      <c r="Y267" s="590"/>
      <c r="Z267" s="590"/>
      <c r="AA267" s="590"/>
      <c r="AB267" s="590"/>
      <c r="AC267" s="590"/>
    </row>
    <row r="268" spans="1:29" ht="14.25" x14ac:dyDescent="0.3">
      <c r="A268" s="1272"/>
      <c r="B268" s="2517"/>
      <c r="C268" s="607" t="str">
        <f t="shared" si="49"/>
        <v>nákladní - DIESLOVÁ trakce</v>
      </c>
      <c r="D268" s="913"/>
      <c r="E268" s="691"/>
      <c r="F268" s="693"/>
      <c r="G268" s="693"/>
      <c r="H268" s="693"/>
      <c r="I268" s="693"/>
      <c r="J268" s="693"/>
      <c r="K268" s="693"/>
      <c r="L268" s="693"/>
      <c r="M268" s="693"/>
      <c r="N268" s="693"/>
      <c r="O268" s="693"/>
      <c r="P268" s="693"/>
      <c r="Q268" s="693"/>
      <c r="R268" s="693"/>
      <c r="S268" s="2205"/>
      <c r="T268" s="2065"/>
      <c r="U268" s="1264"/>
      <c r="V268" s="1264"/>
      <c r="W268" s="1267"/>
      <c r="X268" s="590"/>
      <c r="Y268" s="590"/>
      <c r="Z268" s="590"/>
      <c r="AA268" s="590"/>
      <c r="AB268" s="590"/>
      <c r="AC268" s="590"/>
    </row>
    <row r="269" spans="1:29" ht="14.25" x14ac:dyDescent="0.3">
      <c r="A269" s="1272"/>
      <c r="B269" s="2517"/>
      <c r="C269" s="607" t="str">
        <f t="shared" si="49"/>
        <v>nákladní - ELEKTRICKÁ trakce</v>
      </c>
      <c r="D269" s="913"/>
      <c r="E269" s="2195">
        <v>1333852</v>
      </c>
      <c r="F269" s="691">
        <v>1333852</v>
      </c>
      <c r="G269" s="691">
        <v>1333852</v>
      </c>
      <c r="H269" s="691">
        <v>1333852</v>
      </c>
      <c r="I269" s="691">
        <v>1333852</v>
      </c>
      <c r="J269" s="691">
        <v>1333852</v>
      </c>
      <c r="K269" s="691">
        <v>1333852</v>
      </c>
      <c r="L269" s="691">
        <v>1333852</v>
      </c>
      <c r="M269" s="691">
        <v>1333852</v>
      </c>
      <c r="N269" s="691">
        <v>1333852</v>
      </c>
      <c r="O269" s="691">
        <v>1333852</v>
      </c>
      <c r="P269" s="691">
        <v>1333852</v>
      </c>
      <c r="Q269" s="691">
        <v>1333852</v>
      </c>
      <c r="R269" s="691">
        <v>1333852</v>
      </c>
      <c r="S269" s="2196">
        <v>1333852</v>
      </c>
      <c r="T269" s="2065"/>
      <c r="U269" s="1264"/>
      <c r="V269" s="1264"/>
      <c r="W269" s="1267"/>
      <c r="X269" s="590"/>
      <c r="Y269" s="590"/>
      <c r="Z269" s="590"/>
      <c r="AA269" s="590"/>
      <c r="AB269" s="590"/>
      <c r="AC269" s="590"/>
    </row>
    <row r="270" spans="1:29" ht="14.25" x14ac:dyDescent="0.3">
      <c r="A270" s="1272"/>
      <c r="B270" s="2518" t="str">
        <f>B255</f>
        <v>SILNIČNÍ
DOPRAVA</v>
      </c>
      <c r="C270" s="1244" t="str">
        <f t="shared" si="49"/>
        <v>osobní - IAD</v>
      </c>
      <c r="D270" s="2028"/>
      <c r="E270" s="2197"/>
      <c r="F270" s="2062"/>
      <c r="G270" s="2062"/>
      <c r="H270" s="2062"/>
      <c r="I270" s="2062"/>
      <c r="J270" s="2062"/>
      <c r="K270" s="2062"/>
      <c r="L270" s="2062"/>
      <c r="M270" s="2062"/>
      <c r="N270" s="2062"/>
      <c r="O270" s="2062"/>
      <c r="P270" s="2062"/>
      <c r="Q270" s="2062"/>
      <c r="R270" s="2062"/>
      <c r="S270" s="2206"/>
      <c r="T270" s="2065"/>
      <c r="U270" s="1264"/>
      <c r="V270" s="1264"/>
      <c r="W270" s="1267"/>
      <c r="X270" s="590"/>
      <c r="Y270" s="590"/>
      <c r="Z270" s="590"/>
      <c r="AA270" s="590"/>
      <c r="AB270" s="590"/>
      <c r="AC270" s="590"/>
    </row>
    <row r="271" spans="1:29" ht="14.25" x14ac:dyDescent="0.3">
      <c r="A271" s="1272"/>
      <c r="B271" s="2517"/>
      <c r="C271" s="1245" t="str">
        <f t="shared" si="49"/>
        <v>osobní - BUS</v>
      </c>
      <c r="D271" s="913"/>
      <c r="E271" s="2195"/>
      <c r="F271" s="693"/>
      <c r="G271" s="693"/>
      <c r="H271" s="693"/>
      <c r="I271" s="693"/>
      <c r="J271" s="693"/>
      <c r="K271" s="693"/>
      <c r="L271" s="693"/>
      <c r="M271" s="693"/>
      <c r="N271" s="693"/>
      <c r="O271" s="693"/>
      <c r="P271" s="693"/>
      <c r="Q271" s="693">
        <v>105178</v>
      </c>
      <c r="R271" s="693"/>
      <c r="S271" s="2205"/>
      <c r="T271" s="2065"/>
      <c r="U271" s="1264"/>
      <c r="V271" s="1264"/>
      <c r="W271" s="1267"/>
      <c r="X271" s="590"/>
      <c r="Y271" s="590"/>
      <c r="Z271" s="590"/>
      <c r="AA271" s="590"/>
      <c r="AB271" s="590"/>
      <c r="AC271" s="590"/>
    </row>
    <row r="272" spans="1:29" ht="14.25" x14ac:dyDescent="0.3">
      <c r="A272" s="1272"/>
      <c r="B272" s="2517"/>
      <c r="C272" s="1245" t="str">
        <f t="shared" si="49"/>
        <v>nákladní - LNV</v>
      </c>
      <c r="D272" s="913"/>
      <c r="E272" s="2195"/>
      <c r="F272" s="693"/>
      <c r="G272" s="693"/>
      <c r="H272" s="693"/>
      <c r="I272" s="693"/>
      <c r="J272" s="693"/>
      <c r="K272" s="693"/>
      <c r="L272" s="693"/>
      <c r="M272" s="693"/>
      <c r="N272" s="693"/>
      <c r="O272" s="693"/>
      <c r="P272" s="693"/>
      <c r="Q272" s="693"/>
      <c r="R272" s="693"/>
      <c r="S272" s="2205"/>
      <c r="T272" s="2065"/>
      <c r="U272" s="1264"/>
      <c r="V272" s="1264"/>
      <c r="W272" s="1267"/>
      <c r="X272" s="590"/>
      <c r="Y272" s="590"/>
      <c r="Z272" s="590"/>
      <c r="AA272" s="590"/>
      <c r="AB272" s="590"/>
      <c r="AC272" s="590"/>
    </row>
    <row r="273" spans="1:29" ht="14.25" x14ac:dyDescent="0.3">
      <c r="A273" s="1272"/>
      <c r="B273" s="2517"/>
      <c r="C273" s="1245" t="str">
        <f t="shared" si="49"/>
        <v>nákladní - TNV</v>
      </c>
      <c r="D273" s="1247"/>
      <c r="E273" s="2199"/>
      <c r="F273" s="1242"/>
      <c r="G273" s="1242"/>
      <c r="H273" s="1242"/>
      <c r="I273" s="1242"/>
      <c r="J273" s="1242"/>
      <c r="K273" s="1242"/>
      <c r="L273" s="1242"/>
      <c r="M273" s="1242"/>
      <c r="N273" s="1242"/>
      <c r="O273" s="1242"/>
      <c r="P273" s="1242"/>
      <c r="Q273" s="1242"/>
      <c r="R273" s="1242"/>
      <c r="S273" s="2207"/>
      <c r="T273" s="2065"/>
      <c r="U273" s="1264"/>
      <c r="V273" s="1264"/>
      <c r="W273" s="1267"/>
      <c r="X273" s="590"/>
      <c r="Y273" s="590"/>
      <c r="Z273" s="590"/>
      <c r="AA273" s="590"/>
      <c r="AB273" s="590"/>
      <c r="AC273" s="590"/>
    </row>
    <row r="274" spans="1:29" ht="14.25" x14ac:dyDescent="0.3">
      <c r="A274" s="1272"/>
      <c r="B274" s="2519"/>
      <c r="C274" s="1244" t="str">
        <f t="shared" si="49"/>
        <v>vodní osobní doprava</v>
      </c>
      <c r="D274" s="913"/>
      <c r="E274" s="2197"/>
      <c r="F274" s="2062"/>
      <c r="G274" s="2062"/>
      <c r="H274" s="2062"/>
      <c r="I274" s="2062"/>
      <c r="J274" s="2062"/>
      <c r="K274" s="2062"/>
      <c r="L274" s="2062"/>
      <c r="M274" s="2062"/>
      <c r="N274" s="2062"/>
      <c r="O274" s="2062"/>
      <c r="P274" s="2062"/>
      <c r="Q274" s="2062"/>
      <c r="R274" s="2062"/>
      <c r="S274" s="2206"/>
      <c r="T274" s="2065"/>
      <c r="U274" s="1264"/>
      <c r="V274" s="1264"/>
      <c r="W274" s="1267"/>
      <c r="X274" s="590"/>
      <c r="Y274" s="590"/>
      <c r="Z274" s="590"/>
      <c r="AA274" s="590"/>
      <c r="AB274" s="590"/>
      <c r="AC274" s="590"/>
    </row>
    <row r="275" spans="1:29" ht="14.25" x14ac:dyDescent="0.3">
      <c r="A275" s="1272"/>
      <c r="B275" s="2520"/>
      <c r="C275" s="1246" t="str">
        <f t="shared" si="49"/>
        <v>vodní nákladní doprava</v>
      </c>
      <c r="D275" s="625"/>
      <c r="E275" s="2208"/>
      <c r="F275" s="1242"/>
      <c r="G275" s="1242"/>
      <c r="H275" s="1242"/>
      <c r="I275" s="1242"/>
      <c r="J275" s="1242"/>
      <c r="K275" s="1242"/>
      <c r="L275" s="1242"/>
      <c r="M275" s="1242"/>
      <c r="N275" s="1242"/>
      <c r="O275" s="1242"/>
      <c r="P275" s="1242"/>
      <c r="Q275" s="1242"/>
      <c r="R275" s="1242"/>
      <c r="S275" s="2207"/>
      <c r="T275" s="2065"/>
      <c r="U275" s="1264"/>
      <c r="V275" s="1264"/>
      <c r="W275" s="1267"/>
      <c r="X275" s="590"/>
      <c r="Y275" s="590"/>
      <c r="Z275" s="590"/>
      <c r="AA275" s="590"/>
      <c r="AB275" s="590"/>
      <c r="AC275" s="590"/>
    </row>
    <row r="276" spans="1:29" ht="14.25" x14ac:dyDescent="0.3">
      <c r="A276" s="1272"/>
      <c r="B276" s="2521"/>
      <c r="C276" s="1245" t="str">
        <f t="shared" si="49"/>
        <v>ostatní osobní doprava</v>
      </c>
      <c r="D276" s="2063"/>
      <c r="E276" s="2209"/>
      <c r="F276" s="693"/>
      <c r="G276" s="693"/>
      <c r="H276" s="693"/>
      <c r="I276" s="693"/>
      <c r="J276" s="693"/>
      <c r="K276" s="693"/>
      <c r="L276" s="693"/>
      <c r="M276" s="693"/>
      <c r="N276" s="693"/>
      <c r="O276" s="693"/>
      <c r="P276" s="693"/>
      <c r="Q276" s="693"/>
      <c r="R276" s="693"/>
      <c r="S276" s="2205"/>
      <c r="T276" s="2065"/>
      <c r="U276" s="1264"/>
      <c r="V276" s="1264"/>
      <c r="W276" s="1267"/>
      <c r="X276" s="590"/>
      <c r="Y276" s="590"/>
      <c r="Z276" s="590"/>
      <c r="AA276" s="590"/>
      <c r="AB276" s="590"/>
      <c r="AC276" s="590"/>
    </row>
    <row r="277" spans="1:29" ht="15" thickBot="1" x14ac:dyDescent="0.35">
      <c r="A277" s="1272"/>
      <c r="B277" s="2522"/>
      <c r="C277" s="1248" t="str">
        <f t="shared" si="49"/>
        <v>ostatní nákladní doprava</v>
      </c>
      <c r="D277" s="1249"/>
      <c r="E277" s="2210"/>
      <c r="F277" s="2211"/>
      <c r="G277" s="2211"/>
      <c r="H277" s="2211"/>
      <c r="I277" s="2211"/>
      <c r="J277" s="2211"/>
      <c r="K277" s="2211"/>
      <c r="L277" s="2211"/>
      <c r="M277" s="2211"/>
      <c r="N277" s="2211"/>
      <c r="O277" s="2211"/>
      <c r="P277" s="2211"/>
      <c r="Q277" s="2211"/>
      <c r="R277" s="2211"/>
      <c r="S277" s="2212"/>
      <c r="T277" s="2065"/>
      <c r="U277" s="1264"/>
      <c r="V277" s="1264"/>
      <c r="W277" s="1267"/>
      <c r="X277" s="590"/>
      <c r="Y277" s="590"/>
      <c r="Z277" s="590"/>
      <c r="AA277" s="590"/>
      <c r="AB277" s="590"/>
      <c r="AC277" s="590"/>
    </row>
    <row r="278" spans="1:29" x14ac:dyDescent="0.3">
      <c r="A278" s="1272"/>
      <c r="B278" s="1274"/>
      <c r="C278" s="1275"/>
      <c r="D278" s="1264"/>
      <c r="E278" s="2066"/>
      <c r="F278" s="2066"/>
      <c r="G278" s="2066"/>
      <c r="H278" s="2066"/>
      <c r="I278" s="2066"/>
      <c r="J278" s="2066"/>
      <c r="K278" s="2066"/>
      <c r="L278" s="2066"/>
      <c r="M278" s="2066"/>
      <c r="N278" s="2066"/>
      <c r="O278" s="2066"/>
      <c r="P278" s="2066"/>
      <c r="Q278" s="2066"/>
      <c r="R278" s="2066"/>
      <c r="S278" s="2066"/>
      <c r="T278" s="1265"/>
      <c r="U278" s="1265"/>
      <c r="V278" s="1265"/>
      <c r="W278" s="1269"/>
      <c r="X278" s="679"/>
      <c r="Y278" s="679"/>
      <c r="Z278" s="679"/>
      <c r="AA278" s="679"/>
      <c r="AB278" s="679"/>
      <c r="AC278" s="679"/>
    </row>
    <row r="279" spans="1:29" ht="14.25" thickBot="1" x14ac:dyDescent="0.35">
      <c r="A279" s="1272"/>
      <c r="B279" s="1266"/>
      <c r="C279" s="1266"/>
      <c r="D279" s="1266"/>
      <c r="E279" s="1266"/>
      <c r="F279" s="1266"/>
      <c r="G279" s="1266"/>
      <c r="H279" s="1266"/>
      <c r="I279" s="1266"/>
      <c r="J279" s="1266"/>
      <c r="K279" s="1266"/>
      <c r="L279" s="1266"/>
      <c r="M279" s="1266"/>
      <c r="N279" s="1266"/>
      <c r="O279" s="1266"/>
      <c r="P279" s="1266"/>
      <c r="Q279" s="1266"/>
      <c r="R279" s="1266"/>
      <c r="S279" s="1266"/>
      <c r="T279" s="1266"/>
      <c r="U279" s="1266"/>
      <c r="V279" s="1266"/>
      <c r="W279" s="1270"/>
      <c r="X279" s="666"/>
      <c r="Y279" s="666"/>
      <c r="Z279" s="666"/>
      <c r="AA279" s="666"/>
      <c r="AB279" s="666"/>
      <c r="AC279" s="666"/>
    </row>
    <row r="280" spans="1:29" ht="14.25" x14ac:dyDescent="0.3">
      <c r="A280" s="1272"/>
      <c r="B280" s="1368" t="s">
        <v>150</v>
      </c>
      <c r="C280" s="873" t="str">
        <f>IF('0 Úvod'!$M$10="English",Slovnik!$D$369,Slovnik!$C$369)</f>
        <v>Celkové vozokm / vlkm</v>
      </c>
      <c r="D280" s="947"/>
      <c r="E280" s="2379">
        <f>E249</f>
        <v>2021</v>
      </c>
      <c r="F280" s="2373">
        <f t="shared" ref="F280:S280" si="50">E280+1</f>
        <v>2022</v>
      </c>
      <c r="G280" s="2373">
        <f t="shared" si="50"/>
        <v>2023</v>
      </c>
      <c r="H280" s="2373">
        <f t="shared" si="50"/>
        <v>2024</v>
      </c>
      <c r="I280" s="2373">
        <f t="shared" si="50"/>
        <v>2025</v>
      </c>
      <c r="J280" s="2373">
        <f t="shared" si="50"/>
        <v>2026</v>
      </c>
      <c r="K280" s="2373">
        <f t="shared" si="50"/>
        <v>2027</v>
      </c>
      <c r="L280" s="2373">
        <f t="shared" si="50"/>
        <v>2028</v>
      </c>
      <c r="M280" s="2373">
        <f t="shared" si="50"/>
        <v>2029</v>
      </c>
      <c r="N280" s="2373">
        <f t="shared" si="50"/>
        <v>2030</v>
      </c>
      <c r="O280" s="2373">
        <f t="shared" si="50"/>
        <v>2031</v>
      </c>
      <c r="P280" s="2373">
        <f t="shared" si="50"/>
        <v>2032</v>
      </c>
      <c r="Q280" s="2373">
        <f t="shared" si="50"/>
        <v>2033</v>
      </c>
      <c r="R280" s="2373">
        <f t="shared" si="50"/>
        <v>2034</v>
      </c>
      <c r="S280" s="2367">
        <f t="shared" si="50"/>
        <v>2035</v>
      </c>
      <c r="T280" s="1263"/>
      <c r="U280" s="2464" t="str">
        <f>IF('0 Úvod'!$M$10="English",Slovnik!D743,Slovnik!C743)</f>
        <v>obsazenost, ložení</v>
      </c>
      <c r="V280" s="2464" t="str">
        <f>IF('0 Úvod'!$M$10="English",Slovnik!D300,Slovnik!C300)</f>
        <v>jednotka</v>
      </c>
      <c r="W280" s="1268"/>
      <c r="X280" s="669"/>
      <c r="Y280" s="669"/>
      <c r="Z280" s="669"/>
      <c r="AA280" s="669"/>
      <c r="AB280" s="669"/>
      <c r="AC280" s="669"/>
    </row>
    <row r="281" spans="1:29" ht="15" thickBot="1" x14ac:dyDescent="0.35">
      <c r="A281" s="1272"/>
      <c r="B281" s="633" t="s">
        <v>23</v>
      </c>
      <c r="C281" s="876" t="str">
        <f>C106</f>
        <v>Scénář bez projektu</v>
      </c>
      <c r="D281" s="635" t="str">
        <f>D250</f>
        <v>Celkem</v>
      </c>
      <c r="E281" s="2380"/>
      <c r="F281" s="2374"/>
      <c r="G281" s="2374"/>
      <c r="H281" s="2374"/>
      <c r="I281" s="2374"/>
      <c r="J281" s="2374"/>
      <c r="K281" s="2374"/>
      <c r="L281" s="2374"/>
      <c r="M281" s="2374"/>
      <c r="N281" s="2374"/>
      <c r="O281" s="2374"/>
      <c r="P281" s="2374"/>
      <c r="Q281" s="2374"/>
      <c r="R281" s="2374"/>
      <c r="S281" s="2368"/>
      <c r="T281" s="1263"/>
      <c r="U281" s="2481"/>
      <c r="V281" s="2458"/>
      <c r="W281" s="1268"/>
      <c r="X281" s="669"/>
      <c r="Y281" s="669"/>
      <c r="Z281" s="669"/>
      <c r="AA281" s="669"/>
      <c r="AB281" s="669"/>
      <c r="AC281" s="669"/>
    </row>
    <row r="282" spans="1:29" ht="14.25" x14ac:dyDescent="0.3">
      <c r="A282" s="1272"/>
      <c r="B282" s="2516" t="str">
        <f>B266</f>
        <v>ŽELEZNIČNÍ
DOPRAVA</v>
      </c>
      <c r="C282" s="607" t="str">
        <f>C266</f>
        <v>osobní - DIESLOVÁ trakce</v>
      </c>
      <c r="D282" s="605">
        <f>SUM(E282:S282,E297:S297)</f>
        <v>0</v>
      </c>
      <c r="E282" s="691"/>
      <c r="F282" s="691"/>
      <c r="G282" s="691"/>
      <c r="H282" s="691"/>
      <c r="I282" s="691"/>
      <c r="J282" s="691"/>
      <c r="K282" s="691"/>
      <c r="L282" s="691"/>
      <c r="M282" s="691"/>
      <c r="N282" s="691"/>
      <c r="O282" s="691"/>
      <c r="P282" s="691"/>
      <c r="Q282" s="691"/>
      <c r="R282" s="691"/>
      <c r="S282" s="691"/>
      <c r="T282" s="2064"/>
      <c r="U282" s="2213"/>
      <c r="V282" s="2523" t="str">
        <f>IF('0 Úvod'!$M$10="English",Slovnik!D744,Slovnik!C744)</f>
        <v>osob/vlak</v>
      </c>
      <c r="W282" s="1271"/>
      <c r="X282" s="587"/>
      <c r="Y282" s="587"/>
      <c r="Z282" s="587"/>
      <c r="AA282" s="587"/>
      <c r="AB282" s="587"/>
      <c r="AC282" s="590"/>
    </row>
    <row r="283" spans="1:29" ht="14.25" x14ac:dyDescent="0.3">
      <c r="A283" s="1272"/>
      <c r="B283" s="2517"/>
      <c r="C283" s="607" t="str">
        <f t="shared" ref="C283:C293" si="51">C267</f>
        <v>osobní - ELEKTRICKÁ trakce</v>
      </c>
      <c r="D283" s="608">
        <f t="shared" ref="D283:D293" si="52">SUM(E283:S283,E298:S298)</f>
        <v>38137.536</v>
      </c>
      <c r="E283" s="691"/>
      <c r="F283" s="691"/>
      <c r="G283" s="691">
        <v>19068.768</v>
      </c>
      <c r="H283" s="691"/>
      <c r="I283" s="691"/>
      <c r="J283" s="691"/>
      <c r="K283" s="691"/>
      <c r="L283" s="691"/>
      <c r="M283" s="691"/>
      <c r="N283" s="691"/>
      <c r="O283" s="691"/>
      <c r="P283" s="691"/>
      <c r="Q283" s="691"/>
      <c r="R283" s="691"/>
      <c r="S283" s="691"/>
      <c r="T283" s="2064"/>
      <c r="U283" s="1243">
        <v>116.89461339203854</v>
      </c>
      <c r="V283" s="2515"/>
      <c r="W283" s="1271"/>
      <c r="X283" s="587"/>
      <c r="Y283" s="587"/>
      <c r="Z283" s="587"/>
      <c r="AA283" s="587"/>
      <c r="AB283" s="587"/>
      <c r="AC283" s="590"/>
    </row>
    <row r="284" spans="1:29" ht="14.25" x14ac:dyDescent="0.3">
      <c r="A284" s="1272"/>
      <c r="B284" s="2517"/>
      <c r="C284" s="607" t="str">
        <f t="shared" si="51"/>
        <v>nákladní - DIESLOVÁ trakce</v>
      </c>
      <c r="D284" s="608">
        <f t="shared" si="52"/>
        <v>0</v>
      </c>
      <c r="E284" s="691"/>
      <c r="F284" s="691"/>
      <c r="G284" s="691"/>
      <c r="H284" s="691"/>
      <c r="I284" s="691"/>
      <c r="J284" s="691"/>
      <c r="K284" s="691"/>
      <c r="L284" s="691"/>
      <c r="M284" s="691"/>
      <c r="N284" s="691"/>
      <c r="O284" s="691"/>
      <c r="P284" s="691"/>
      <c r="Q284" s="691"/>
      <c r="R284" s="691"/>
      <c r="S284" s="691"/>
      <c r="T284" s="2064"/>
      <c r="U284" s="1243"/>
      <c r="V284" s="2515" t="str">
        <f>IF('0 Úvod'!$M$10="English",Slovnik!D745,Slovnik!C745)</f>
        <v>t/vlak</v>
      </c>
      <c r="W284" s="1271"/>
      <c r="X284" s="587"/>
      <c r="Y284" s="587"/>
      <c r="Z284" s="587"/>
      <c r="AA284" s="587"/>
      <c r="AB284" s="587"/>
      <c r="AC284" s="590"/>
    </row>
    <row r="285" spans="1:29" ht="14.25" x14ac:dyDescent="0.3">
      <c r="A285" s="1272"/>
      <c r="B285" s="2517"/>
      <c r="C285" s="607" t="str">
        <f t="shared" si="51"/>
        <v>nákladní - ELEKTRICKÁ trakce</v>
      </c>
      <c r="D285" s="608">
        <f t="shared" si="52"/>
        <v>20007780</v>
      </c>
      <c r="E285" s="691"/>
      <c r="F285" s="691"/>
      <c r="G285" s="691"/>
      <c r="H285" s="691"/>
      <c r="I285" s="691"/>
      <c r="J285" s="691"/>
      <c r="K285" s="691"/>
      <c r="L285" s="691"/>
      <c r="M285" s="691"/>
      <c r="N285" s="691"/>
      <c r="O285" s="691"/>
      <c r="P285" s="691"/>
      <c r="Q285" s="691"/>
      <c r="R285" s="691"/>
      <c r="S285" s="691"/>
      <c r="T285" s="2064"/>
      <c r="U285" s="1243">
        <v>30</v>
      </c>
      <c r="V285" s="2515"/>
      <c r="W285" s="1271"/>
      <c r="X285" s="587"/>
      <c r="Y285" s="587"/>
      <c r="Z285" s="587"/>
      <c r="AA285" s="587"/>
      <c r="AB285" s="587"/>
      <c r="AC285" s="590"/>
    </row>
    <row r="286" spans="1:29" ht="14.25" x14ac:dyDescent="0.3">
      <c r="A286" s="1272"/>
      <c r="B286" s="2518" t="str">
        <f>B270</f>
        <v>SILNIČNÍ
DOPRAVA</v>
      </c>
      <c r="C286" s="1244" t="str">
        <f t="shared" si="51"/>
        <v>osobní - IAD</v>
      </c>
      <c r="D286" s="611">
        <f t="shared" si="52"/>
        <v>0</v>
      </c>
      <c r="E286" s="2061"/>
      <c r="F286" s="2061"/>
      <c r="G286" s="2061"/>
      <c r="H286" s="2061"/>
      <c r="I286" s="2061"/>
      <c r="J286" s="2061"/>
      <c r="K286" s="2061"/>
      <c r="L286" s="2061"/>
      <c r="M286" s="2061"/>
      <c r="N286" s="2061"/>
      <c r="O286" s="2061"/>
      <c r="P286" s="2061"/>
      <c r="Q286" s="2061"/>
      <c r="R286" s="2061"/>
      <c r="S286" s="2061"/>
      <c r="T286" s="2064"/>
      <c r="U286" s="1243">
        <v>1.7</v>
      </c>
      <c r="V286" s="2515" t="str">
        <f>IF('0 Úvod'!$M$10="English",Slovnik!D746,Slovnik!C746)</f>
        <v>os/vozidlo</v>
      </c>
      <c r="W286" s="1271"/>
      <c r="X286" s="587"/>
      <c r="Y286" s="587"/>
      <c r="Z286" s="587"/>
      <c r="AA286" s="587"/>
      <c r="AB286" s="587"/>
      <c r="AC286" s="590"/>
    </row>
    <row r="287" spans="1:29" ht="14.25" x14ac:dyDescent="0.3">
      <c r="A287" s="1272"/>
      <c r="B287" s="2517"/>
      <c r="C287" s="1245" t="str">
        <f t="shared" si="51"/>
        <v>osobní - BUS</v>
      </c>
      <c r="D287" s="608">
        <f t="shared" si="52"/>
        <v>210356</v>
      </c>
      <c r="E287" s="691"/>
      <c r="F287" s="691"/>
      <c r="G287" s="691">
        <v>105178</v>
      </c>
      <c r="H287" s="691"/>
      <c r="I287" s="691"/>
      <c r="J287" s="691"/>
      <c r="K287" s="691"/>
      <c r="L287" s="691"/>
      <c r="M287" s="691"/>
      <c r="N287" s="691"/>
      <c r="O287" s="691"/>
      <c r="P287" s="691"/>
      <c r="Q287" s="691"/>
      <c r="R287" s="691"/>
      <c r="S287" s="691"/>
      <c r="T287" s="2064"/>
      <c r="U287" s="1243">
        <v>36</v>
      </c>
      <c r="V287" s="2515"/>
      <c r="W287" s="1271"/>
      <c r="X287" s="587"/>
      <c r="Y287" s="587"/>
      <c r="Z287" s="587"/>
      <c r="AA287" s="587"/>
      <c r="AB287" s="587"/>
      <c r="AC287" s="590"/>
    </row>
    <row r="288" spans="1:29" ht="14.25" x14ac:dyDescent="0.3">
      <c r="A288" s="1272"/>
      <c r="B288" s="2517"/>
      <c r="C288" s="1245" t="str">
        <f t="shared" si="51"/>
        <v>nákladní - LNV</v>
      </c>
      <c r="D288" s="608">
        <f t="shared" si="52"/>
        <v>0</v>
      </c>
      <c r="E288" s="691"/>
      <c r="F288" s="691"/>
      <c r="G288" s="691"/>
      <c r="H288" s="691"/>
      <c r="I288" s="691"/>
      <c r="J288" s="691"/>
      <c r="K288" s="691"/>
      <c r="L288" s="691"/>
      <c r="M288" s="691"/>
      <c r="N288" s="691"/>
      <c r="O288" s="691"/>
      <c r="P288" s="691"/>
      <c r="Q288" s="691"/>
      <c r="R288" s="691"/>
      <c r="S288" s="691"/>
      <c r="T288" s="2064"/>
      <c r="U288" s="1243"/>
      <c r="V288" s="2515" t="str">
        <f>IF('0 Úvod'!$M$10="English",Slovnik!D747,Slovnik!C747)</f>
        <v>t/vozidlo</v>
      </c>
      <c r="W288" s="1271"/>
      <c r="X288" s="587"/>
      <c r="Y288" s="587"/>
      <c r="Z288" s="587"/>
      <c r="AA288" s="587"/>
      <c r="AB288" s="587"/>
      <c r="AC288" s="590"/>
    </row>
    <row r="289" spans="1:29" ht="14.25" x14ac:dyDescent="0.3">
      <c r="A289" s="1272"/>
      <c r="B289" s="2517"/>
      <c r="C289" s="1245" t="str">
        <f t="shared" si="51"/>
        <v>nákladní - TNV</v>
      </c>
      <c r="D289" s="608">
        <f t="shared" si="52"/>
        <v>66692600</v>
      </c>
      <c r="E289" s="691"/>
      <c r="F289" s="691"/>
      <c r="G289" s="691"/>
      <c r="H289" s="691"/>
      <c r="I289" s="691"/>
      <c r="J289" s="691">
        <v>2667704</v>
      </c>
      <c r="K289" s="691">
        <v>2667704</v>
      </c>
      <c r="L289" s="691">
        <v>2667704</v>
      </c>
      <c r="M289" s="691">
        <v>2667704</v>
      </c>
      <c r="N289" s="691">
        <v>2667704</v>
      </c>
      <c r="O289" s="691">
        <v>2667704</v>
      </c>
      <c r="P289" s="691">
        <v>2667704</v>
      </c>
      <c r="Q289" s="691">
        <v>2667704</v>
      </c>
      <c r="R289" s="691">
        <v>2667704</v>
      </c>
      <c r="S289" s="691">
        <v>2667704</v>
      </c>
      <c r="T289" s="2064"/>
      <c r="U289" s="1243">
        <v>17.46</v>
      </c>
      <c r="V289" s="2515"/>
      <c r="W289" s="1271"/>
      <c r="X289" s="587"/>
      <c r="Y289" s="587"/>
      <c r="Z289" s="587"/>
      <c r="AA289" s="587"/>
      <c r="AB289" s="587"/>
      <c r="AC289" s="590"/>
    </row>
    <row r="290" spans="1:29" ht="14.25" x14ac:dyDescent="0.3">
      <c r="A290" s="1272"/>
      <c r="B290" s="2519"/>
      <c r="C290" s="1244" t="str">
        <f t="shared" si="51"/>
        <v>vodní osobní doprava</v>
      </c>
      <c r="D290" s="611">
        <f t="shared" si="52"/>
        <v>0</v>
      </c>
      <c r="E290" s="2061"/>
      <c r="F290" s="2061"/>
      <c r="G290" s="2061"/>
      <c r="H290" s="2061"/>
      <c r="I290" s="2061"/>
      <c r="J290" s="2061"/>
      <c r="K290" s="2061"/>
      <c r="L290" s="2061"/>
      <c r="M290" s="2061"/>
      <c r="N290" s="2061"/>
      <c r="O290" s="2061"/>
      <c r="P290" s="2061"/>
      <c r="Q290" s="2061"/>
      <c r="R290" s="2061"/>
      <c r="S290" s="2061"/>
      <c r="T290" s="2064"/>
      <c r="U290" s="1243"/>
      <c r="V290" s="1877" t="str">
        <f>IF('0 Úvod'!$M$10="English",Slovnik!D748,Slovnik!C748)</f>
        <v>os/plavidlo</v>
      </c>
      <c r="W290" s="1271"/>
      <c r="X290" s="587"/>
      <c r="Y290" s="587"/>
      <c r="Z290" s="587"/>
      <c r="AA290" s="587"/>
      <c r="AB290" s="587"/>
      <c r="AC290" s="590"/>
    </row>
    <row r="291" spans="1:29" ht="14.25" x14ac:dyDescent="0.3">
      <c r="A291" s="1272"/>
      <c r="B291" s="2520"/>
      <c r="C291" s="1246" t="str">
        <f t="shared" si="51"/>
        <v>vodní nákladní doprava</v>
      </c>
      <c r="D291" s="1238">
        <f t="shared" si="52"/>
        <v>0</v>
      </c>
      <c r="E291" s="1241"/>
      <c r="F291" s="1241"/>
      <c r="G291" s="1241"/>
      <c r="H291" s="1241"/>
      <c r="I291" s="1241"/>
      <c r="J291" s="1241"/>
      <c r="K291" s="1241"/>
      <c r="L291" s="1241"/>
      <c r="M291" s="1241"/>
      <c r="N291" s="1241"/>
      <c r="O291" s="1241"/>
      <c r="P291" s="1241"/>
      <c r="Q291" s="1241"/>
      <c r="R291" s="1241"/>
      <c r="S291" s="1241"/>
      <c r="T291" s="2064"/>
      <c r="U291" s="1243"/>
      <c r="V291" s="1877" t="str">
        <f>IF('0 Úvod'!$M$10="English",Slovnik!D749,Slovnik!C749)</f>
        <v>t/plavidlo</v>
      </c>
      <c r="W291" s="1271"/>
      <c r="X291" s="587"/>
      <c r="Y291" s="587"/>
      <c r="Z291" s="587"/>
      <c r="AA291" s="587"/>
      <c r="AB291" s="587"/>
      <c r="AC291" s="590"/>
    </row>
    <row r="292" spans="1:29" ht="14.25" x14ac:dyDescent="0.3">
      <c r="A292" s="1272"/>
      <c r="B292" s="2521"/>
      <c r="C292" s="1245" t="str">
        <f t="shared" si="51"/>
        <v>ostatní osobní doprava</v>
      </c>
      <c r="D292" s="608">
        <f t="shared" si="52"/>
        <v>0</v>
      </c>
      <c r="E292" s="691"/>
      <c r="F292" s="691"/>
      <c r="G292" s="691"/>
      <c r="H292" s="691"/>
      <c r="I292" s="691"/>
      <c r="J292" s="691"/>
      <c r="K292" s="691"/>
      <c r="L292" s="691"/>
      <c r="M292" s="691"/>
      <c r="N292" s="691"/>
      <c r="O292" s="691"/>
      <c r="P292" s="691"/>
      <c r="Q292" s="691"/>
      <c r="R292" s="691"/>
      <c r="S292" s="691"/>
      <c r="T292" s="2064"/>
      <c r="U292" s="1243"/>
      <c r="V292" s="1877" t="str">
        <f>IF('0 Úvod'!$M$10="English",Slovnik!D746,Slovnik!C746)</f>
        <v>os/vozidlo</v>
      </c>
      <c r="W292" s="1271"/>
      <c r="X292" s="587"/>
      <c r="Y292" s="587"/>
      <c r="Z292" s="587"/>
      <c r="AA292" s="587"/>
      <c r="AB292" s="587"/>
      <c r="AC292" s="590"/>
    </row>
    <row r="293" spans="1:29" ht="15" thickBot="1" x14ac:dyDescent="0.35">
      <c r="A293" s="1272"/>
      <c r="B293" s="2522"/>
      <c r="C293" s="1248" t="str">
        <f t="shared" si="51"/>
        <v>ostatní nákladní doprava</v>
      </c>
      <c r="D293" s="1250">
        <f t="shared" si="52"/>
        <v>0</v>
      </c>
      <c r="E293" s="691"/>
      <c r="F293" s="691"/>
      <c r="G293" s="691"/>
      <c r="H293" s="691"/>
      <c r="I293" s="691"/>
      <c r="J293" s="691"/>
      <c r="K293" s="691"/>
      <c r="L293" s="691"/>
      <c r="M293" s="691"/>
      <c r="N293" s="691"/>
      <c r="O293" s="691"/>
      <c r="P293" s="691"/>
      <c r="Q293" s="691"/>
      <c r="R293" s="691"/>
      <c r="S293" s="691"/>
      <c r="T293" s="2064"/>
      <c r="U293" s="2214"/>
      <c r="V293" s="1878" t="str">
        <f>IF('0 Úvod'!$M$10="English",Slovnik!D747,Slovnik!C747)</f>
        <v>t/vozidlo</v>
      </c>
      <c r="W293" s="1271"/>
      <c r="X293" s="587"/>
      <c r="Y293" s="587"/>
      <c r="Z293" s="587"/>
      <c r="AA293" s="587"/>
      <c r="AB293" s="587"/>
      <c r="AC293" s="590"/>
    </row>
    <row r="294" spans="1:29" ht="14.25" thickBot="1" x14ac:dyDescent="0.35">
      <c r="A294" s="1272"/>
      <c r="B294" s="1278"/>
      <c r="C294" s="1266"/>
      <c r="D294" s="1264"/>
      <c r="E294" s="2060"/>
      <c r="F294" s="2060"/>
      <c r="G294" s="2060"/>
      <c r="H294" s="2060"/>
      <c r="I294" s="2060"/>
      <c r="J294" s="2060"/>
      <c r="K294" s="2060"/>
      <c r="L294" s="2060"/>
      <c r="M294" s="2060"/>
      <c r="N294" s="2060"/>
      <c r="O294" s="2060"/>
      <c r="P294" s="2060"/>
      <c r="Q294" s="2060"/>
      <c r="R294" s="2060"/>
      <c r="S294" s="2060"/>
      <c r="T294" s="1264"/>
      <c r="U294" s="2060"/>
      <c r="V294" s="1264"/>
      <c r="W294" s="1267"/>
      <c r="X294" s="590"/>
      <c r="Y294" s="590"/>
      <c r="Z294" s="590"/>
      <c r="AA294" s="590"/>
      <c r="AB294" s="590"/>
      <c r="AC294" s="590"/>
    </row>
    <row r="295" spans="1:29" ht="14.25" x14ac:dyDescent="0.3">
      <c r="A295" s="1272"/>
      <c r="B295" s="1368" t="str">
        <f>B280</f>
        <v>6.8.</v>
      </c>
      <c r="C295" s="873" t="str">
        <f>C280</f>
        <v>Celkové vozokm / vlkm</v>
      </c>
      <c r="D295" s="949"/>
      <c r="E295" s="2379">
        <f>S280+1</f>
        <v>2036</v>
      </c>
      <c r="F295" s="2373">
        <f t="shared" ref="F295:S295" si="53">E295+1</f>
        <v>2037</v>
      </c>
      <c r="G295" s="2373">
        <f t="shared" si="53"/>
        <v>2038</v>
      </c>
      <c r="H295" s="2373">
        <f t="shared" si="53"/>
        <v>2039</v>
      </c>
      <c r="I295" s="2373">
        <f t="shared" si="53"/>
        <v>2040</v>
      </c>
      <c r="J295" s="2373">
        <f t="shared" si="53"/>
        <v>2041</v>
      </c>
      <c r="K295" s="2373">
        <f t="shared" si="53"/>
        <v>2042</v>
      </c>
      <c r="L295" s="2373">
        <f t="shared" si="53"/>
        <v>2043</v>
      </c>
      <c r="M295" s="2373">
        <f t="shared" si="53"/>
        <v>2044</v>
      </c>
      <c r="N295" s="2373">
        <f t="shared" si="53"/>
        <v>2045</v>
      </c>
      <c r="O295" s="2373">
        <f t="shared" si="53"/>
        <v>2046</v>
      </c>
      <c r="P295" s="2373">
        <f t="shared" si="53"/>
        <v>2047</v>
      </c>
      <c r="Q295" s="2373">
        <f t="shared" si="53"/>
        <v>2048</v>
      </c>
      <c r="R295" s="2373">
        <f t="shared" si="53"/>
        <v>2049</v>
      </c>
      <c r="S295" s="2367">
        <f t="shared" si="53"/>
        <v>2050</v>
      </c>
      <c r="T295" s="1263"/>
      <c r="U295" s="1263"/>
      <c r="V295" s="1263"/>
      <c r="W295" s="1268"/>
      <c r="X295" s="669"/>
      <c r="Y295" s="669"/>
      <c r="Z295" s="669"/>
      <c r="AA295" s="669"/>
      <c r="AB295" s="669"/>
      <c r="AC295" s="669"/>
    </row>
    <row r="296" spans="1:29" ht="15" thickBot="1" x14ac:dyDescent="0.35">
      <c r="A296" s="1272"/>
      <c r="B296" s="633" t="s">
        <v>24</v>
      </c>
      <c r="C296" s="876" t="str">
        <f t="shared" ref="C296:C308" si="54">C281</f>
        <v>Scénář bez projektu</v>
      </c>
      <c r="D296" s="1257"/>
      <c r="E296" s="2380">
        <f>S281+1</f>
        <v>1</v>
      </c>
      <c r="F296" s="2374"/>
      <c r="G296" s="2374"/>
      <c r="H296" s="2374"/>
      <c r="I296" s="2374"/>
      <c r="J296" s="2374"/>
      <c r="K296" s="2374"/>
      <c r="L296" s="2374"/>
      <c r="M296" s="2374"/>
      <c r="N296" s="2374"/>
      <c r="O296" s="2374"/>
      <c r="P296" s="2374"/>
      <c r="Q296" s="2374"/>
      <c r="R296" s="2374"/>
      <c r="S296" s="2368"/>
      <c r="T296" s="1263"/>
      <c r="U296" s="1263"/>
      <c r="V296" s="1263"/>
      <c r="W296" s="1268"/>
      <c r="X296" s="669"/>
      <c r="Y296" s="669"/>
      <c r="Z296" s="669"/>
      <c r="AA296" s="669"/>
      <c r="AB296" s="669"/>
      <c r="AC296" s="669"/>
    </row>
    <row r="297" spans="1:29" ht="14.25" x14ac:dyDescent="0.3">
      <c r="A297" s="1272"/>
      <c r="B297" s="2516" t="str">
        <f>B282</f>
        <v>ŽELEZNIČNÍ
DOPRAVA</v>
      </c>
      <c r="C297" s="604" t="str">
        <f t="shared" si="54"/>
        <v>osobní - DIESLOVÁ trakce</v>
      </c>
      <c r="D297" s="912"/>
      <c r="E297" s="2193"/>
      <c r="F297" s="1151"/>
      <c r="G297" s="1151"/>
      <c r="H297" s="1151"/>
      <c r="I297" s="1151"/>
      <c r="J297" s="1151"/>
      <c r="K297" s="1151"/>
      <c r="L297" s="1151"/>
      <c r="M297" s="1151"/>
      <c r="N297" s="1151"/>
      <c r="O297" s="1151"/>
      <c r="P297" s="1151"/>
      <c r="Q297" s="1151"/>
      <c r="R297" s="1151"/>
      <c r="S297" s="2194"/>
      <c r="T297" s="2065"/>
      <c r="U297" s="1264"/>
      <c r="V297" s="1264"/>
      <c r="W297" s="1267"/>
      <c r="X297" s="590"/>
      <c r="Y297" s="590"/>
      <c r="Z297" s="590"/>
      <c r="AA297" s="590"/>
      <c r="AB297" s="590"/>
      <c r="AC297" s="590"/>
    </row>
    <row r="298" spans="1:29" ht="14.25" x14ac:dyDescent="0.3">
      <c r="A298" s="1272"/>
      <c r="B298" s="2517"/>
      <c r="C298" s="607" t="str">
        <f t="shared" si="54"/>
        <v>osobní - ELEKTRICKÁ trakce</v>
      </c>
      <c r="D298" s="913"/>
      <c r="E298" s="2195"/>
      <c r="F298" s="691"/>
      <c r="G298" s="691"/>
      <c r="H298" s="691"/>
      <c r="I298" s="691"/>
      <c r="J298" s="691"/>
      <c r="K298" s="691"/>
      <c r="L298" s="691"/>
      <c r="M298" s="691"/>
      <c r="N298" s="691"/>
      <c r="O298" s="691"/>
      <c r="P298" s="691"/>
      <c r="Q298" s="691">
        <v>19068.768</v>
      </c>
      <c r="R298" s="691"/>
      <c r="S298" s="2196"/>
      <c r="T298" s="2065"/>
      <c r="U298" s="1264"/>
      <c r="V298" s="1264"/>
      <c r="W298" s="1267"/>
      <c r="X298" s="590"/>
      <c r="Y298" s="590"/>
      <c r="Z298" s="590"/>
      <c r="AA298" s="590"/>
      <c r="AB298" s="590"/>
      <c r="AC298" s="590"/>
    </row>
    <row r="299" spans="1:29" ht="14.25" x14ac:dyDescent="0.3">
      <c r="A299" s="1272"/>
      <c r="B299" s="2517"/>
      <c r="C299" s="607" t="str">
        <f t="shared" si="54"/>
        <v>nákladní - DIESLOVÁ trakce</v>
      </c>
      <c r="D299" s="913"/>
      <c r="E299" s="2195"/>
      <c r="F299" s="691"/>
      <c r="G299" s="691"/>
      <c r="H299" s="691"/>
      <c r="I299" s="691"/>
      <c r="J299" s="691"/>
      <c r="K299" s="691"/>
      <c r="L299" s="691"/>
      <c r="M299" s="691"/>
      <c r="N299" s="691"/>
      <c r="O299" s="691"/>
      <c r="P299" s="691"/>
      <c r="Q299" s="691"/>
      <c r="R299" s="691"/>
      <c r="S299" s="2196"/>
      <c r="T299" s="2065"/>
      <c r="U299" s="1264"/>
      <c r="V299" s="1264"/>
      <c r="W299" s="1267"/>
      <c r="X299" s="590"/>
      <c r="Y299" s="590"/>
      <c r="Z299" s="590"/>
      <c r="AA299" s="590"/>
      <c r="AB299" s="590"/>
      <c r="AC299" s="590"/>
    </row>
    <row r="300" spans="1:29" ht="14.25" x14ac:dyDescent="0.3">
      <c r="A300" s="1272"/>
      <c r="B300" s="2517"/>
      <c r="C300" s="607" t="str">
        <f t="shared" si="54"/>
        <v>nákladní - ELEKTRICKÁ trakce</v>
      </c>
      <c r="D300" s="913"/>
      <c r="E300" s="2195">
        <v>1333852</v>
      </c>
      <c r="F300" s="691">
        <v>1333852</v>
      </c>
      <c r="G300" s="691">
        <v>1333852</v>
      </c>
      <c r="H300" s="691">
        <v>1333852</v>
      </c>
      <c r="I300" s="691">
        <v>1333852</v>
      </c>
      <c r="J300" s="691">
        <v>1333852</v>
      </c>
      <c r="K300" s="691">
        <v>1333852</v>
      </c>
      <c r="L300" s="691">
        <v>1333852</v>
      </c>
      <c r="M300" s="691">
        <v>1333852</v>
      </c>
      <c r="N300" s="691">
        <v>1333852</v>
      </c>
      <c r="O300" s="691">
        <v>1333852</v>
      </c>
      <c r="P300" s="691">
        <v>1333852</v>
      </c>
      <c r="Q300" s="691">
        <v>1333852</v>
      </c>
      <c r="R300" s="691">
        <v>1333852</v>
      </c>
      <c r="S300" s="2196">
        <v>1333852</v>
      </c>
      <c r="T300" s="2065"/>
      <c r="U300" s="1264"/>
      <c r="V300" s="1264"/>
      <c r="W300" s="1267"/>
      <c r="X300" s="590"/>
      <c r="Y300" s="590"/>
      <c r="Z300" s="590"/>
      <c r="AA300" s="590"/>
      <c r="AB300" s="590"/>
      <c r="AC300" s="590"/>
    </row>
    <row r="301" spans="1:29" ht="14.25" x14ac:dyDescent="0.3">
      <c r="A301" s="1272"/>
      <c r="B301" s="2518" t="str">
        <f>B286</f>
        <v>SILNIČNÍ
DOPRAVA</v>
      </c>
      <c r="C301" s="1244" t="str">
        <f t="shared" si="54"/>
        <v>osobní - IAD</v>
      </c>
      <c r="D301" s="2028"/>
      <c r="E301" s="2197"/>
      <c r="F301" s="2061"/>
      <c r="G301" s="2061"/>
      <c r="H301" s="2061"/>
      <c r="I301" s="2061"/>
      <c r="J301" s="2061"/>
      <c r="K301" s="2061"/>
      <c r="L301" s="2061"/>
      <c r="M301" s="2061"/>
      <c r="N301" s="2061"/>
      <c r="O301" s="2061"/>
      <c r="P301" s="2061"/>
      <c r="Q301" s="2061"/>
      <c r="R301" s="2061"/>
      <c r="S301" s="2198"/>
      <c r="T301" s="2065"/>
      <c r="U301" s="1264"/>
      <c r="V301" s="1264"/>
      <c r="W301" s="1267"/>
      <c r="X301" s="590"/>
      <c r="Y301" s="590"/>
      <c r="Z301" s="590"/>
      <c r="AA301" s="590"/>
      <c r="AB301" s="590"/>
      <c r="AC301" s="590"/>
    </row>
    <row r="302" spans="1:29" ht="14.25" x14ac:dyDescent="0.3">
      <c r="A302" s="1272"/>
      <c r="B302" s="2517"/>
      <c r="C302" s="1245" t="str">
        <f t="shared" si="54"/>
        <v>osobní - BUS</v>
      </c>
      <c r="D302" s="913"/>
      <c r="E302" s="2195"/>
      <c r="F302" s="691"/>
      <c r="G302" s="691"/>
      <c r="H302" s="691"/>
      <c r="I302" s="691"/>
      <c r="J302" s="691"/>
      <c r="K302" s="691"/>
      <c r="L302" s="691"/>
      <c r="M302" s="691"/>
      <c r="N302" s="691"/>
      <c r="O302" s="691"/>
      <c r="P302" s="691"/>
      <c r="Q302" s="693">
        <v>105178</v>
      </c>
      <c r="R302" s="691"/>
      <c r="S302" s="2196"/>
      <c r="T302" s="2065"/>
      <c r="U302" s="1264"/>
      <c r="V302" s="1264"/>
      <c r="W302" s="1267"/>
      <c r="X302" s="590"/>
      <c r="Y302" s="590"/>
      <c r="Z302" s="590"/>
      <c r="AA302" s="590"/>
      <c r="AB302" s="590"/>
      <c r="AC302" s="590"/>
    </row>
    <row r="303" spans="1:29" ht="14.25" x14ac:dyDescent="0.3">
      <c r="A303" s="1272"/>
      <c r="B303" s="2517"/>
      <c r="C303" s="1245" t="str">
        <f t="shared" si="54"/>
        <v>nákladní - LNV</v>
      </c>
      <c r="D303" s="913"/>
      <c r="E303" s="2195"/>
      <c r="F303" s="691"/>
      <c r="G303" s="691"/>
      <c r="H303" s="691"/>
      <c r="I303" s="691"/>
      <c r="J303" s="691"/>
      <c r="K303" s="691"/>
      <c r="L303" s="691"/>
      <c r="M303" s="691"/>
      <c r="N303" s="691"/>
      <c r="O303" s="691"/>
      <c r="P303" s="691"/>
      <c r="Q303" s="691"/>
      <c r="R303" s="691"/>
      <c r="S303" s="2196"/>
      <c r="T303" s="2065"/>
      <c r="U303" s="1264"/>
      <c r="V303" s="1264"/>
      <c r="W303" s="1267"/>
      <c r="X303" s="590"/>
      <c r="Y303" s="590"/>
      <c r="Z303" s="590"/>
      <c r="AA303" s="590"/>
      <c r="AB303" s="590"/>
      <c r="AC303" s="590"/>
    </row>
    <row r="304" spans="1:29" ht="14.25" x14ac:dyDescent="0.3">
      <c r="A304" s="1272"/>
      <c r="B304" s="2517"/>
      <c r="C304" s="1245" t="str">
        <f t="shared" si="54"/>
        <v>nákladní - TNV</v>
      </c>
      <c r="D304" s="1247"/>
      <c r="E304" s="2195">
        <v>2667704</v>
      </c>
      <c r="F304" s="691">
        <v>2667704</v>
      </c>
      <c r="G304" s="691">
        <v>2667704</v>
      </c>
      <c r="H304" s="691">
        <v>2667704</v>
      </c>
      <c r="I304" s="691">
        <v>2667704</v>
      </c>
      <c r="J304" s="691">
        <v>2667704</v>
      </c>
      <c r="K304" s="691">
        <v>2667704</v>
      </c>
      <c r="L304" s="691">
        <v>2667704</v>
      </c>
      <c r="M304" s="691">
        <v>2667704</v>
      </c>
      <c r="N304" s="691">
        <v>2667704</v>
      </c>
      <c r="O304" s="691">
        <v>2667704</v>
      </c>
      <c r="P304" s="691">
        <v>2667704</v>
      </c>
      <c r="Q304" s="691">
        <v>2667704</v>
      </c>
      <c r="R304" s="691">
        <v>2667704</v>
      </c>
      <c r="S304" s="2196">
        <v>2667704</v>
      </c>
      <c r="T304" s="2065"/>
      <c r="U304" s="1264"/>
      <c r="V304" s="1264"/>
      <c r="W304" s="1267"/>
      <c r="X304" s="590"/>
      <c r="Y304" s="590"/>
      <c r="Z304" s="590"/>
      <c r="AA304" s="590"/>
      <c r="AB304" s="590"/>
      <c r="AC304" s="590"/>
    </row>
    <row r="305" spans="1:29" ht="14.25" x14ac:dyDescent="0.3">
      <c r="A305" s="1272"/>
      <c r="B305" s="2519"/>
      <c r="C305" s="1244" t="str">
        <f t="shared" si="54"/>
        <v>vodní osobní doprava</v>
      </c>
      <c r="D305" s="913"/>
      <c r="E305" s="2197"/>
      <c r="F305" s="2061"/>
      <c r="G305" s="2061"/>
      <c r="H305" s="2061"/>
      <c r="I305" s="2061"/>
      <c r="J305" s="2061"/>
      <c r="K305" s="2061"/>
      <c r="L305" s="2061"/>
      <c r="M305" s="2061"/>
      <c r="N305" s="2061"/>
      <c r="O305" s="2061"/>
      <c r="P305" s="2061"/>
      <c r="Q305" s="2061"/>
      <c r="R305" s="2061"/>
      <c r="S305" s="2198"/>
      <c r="T305" s="2065"/>
      <c r="U305" s="1264"/>
      <c r="V305" s="1264"/>
      <c r="W305" s="1267"/>
      <c r="X305" s="590"/>
      <c r="Y305" s="590"/>
      <c r="Z305" s="590"/>
      <c r="AA305" s="590"/>
      <c r="AB305" s="590"/>
      <c r="AC305" s="590"/>
    </row>
    <row r="306" spans="1:29" ht="14.25" x14ac:dyDescent="0.3">
      <c r="A306" s="1272"/>
      <c r="B306" s="2520"/>
      <c r="C306" s="1246" t="str">
        <f t="shared" si="54"/>
        <v>vodní nákladní doprava</v>
      </c>
      <c r="D306" s="625"/>
      <c r="E306" s="2199"/>
      <c r="F306" s="1241"/>
      <c r="G306" s="1241"/>
      <c r="H306" s="1241"/>
      <c r="I306" s="1241"/>
      <c r="J306" s="1241"/>
      <c r="K306" s="1241"/>
      <c r="L306" s="1241"/>
      <c r="M306" s="1241"/>
      <c r="N306" s="1241"/>
      <c r="O306" s="1241"/>
      <c r="P306" s="1241"/>
      <c r="Q306" s="1241"/>
      <c r="R306" s="1241"/>
      <c r="S306" s="2200"/>
      <c r="T306" s="2065"/>
      <c r="U306" s="1264"/>
      <c r="V306" s="1264"/>
      <c r="W306" s="1267"/>
      <c r="X306" s="590"/>
      <c r="Y306" s="590"/>
      <c r="Z306" s="590"/>
      <c r="AA306" s="590"/>
      <c r="AB306" s="590"/>
      <c r="AC306" s="590"/>
    </row>
    <row r="307" spans="1:29" ht="14.25" x14ac:dyDescent="0.3">
      <c r="A307" s="1272"/>
      <c r="B307" s="2521"/>
      <c r="C307" s="1245" t="str">
        <f t="shared" si="54"/>
        <v>ostatní osobní doprava</v>
      </c>
      <c r="D307" s="2063"/>
      <c r="E307" s="2195"/>
      <c r="F307" s="691"/>
      <c r="G307" s="691"/>
      <c r="H307" s="691"/>
      <c r="I307" s="691"/>
      <c r="J307" s="691"/>
      <c r="K307" s="691"/>
      <c r="L307" s="691"/>
      <c r="M307" s="691"/>
      <c r="N307" s="691"/>
      <c r="O307" s="691"/>
      <c r="P307" s="691"/>
      <c r="Q307" s="691"/>
      <c r="R307" s="691"/>
      <c r="S307" s="2196"/>
      <c r="T307" s="2065"/>
      <c r="U307" s="1264"/>
      <c r="V307" s="1264"/>
      <c r="W307" s="1267"/>
      <c r="X307" s="590"/>
      <c r="Y307" s="590"/>
      <c r="Z307" s="590"/>
      <c r="AA307" s="590"/>
      <c r="AB307" s="590"/>
      <c r="AC307" s="590"/>
    </row>
    <row r="308" spans="1:29" ht="15" thickBot="1" x14ac:dyDescent="0.35">
      <c r="A308" s="1272"/>
      <c r="B308" s="2522"/>
      <c r="C308" s="1248" t="str">
        <f t="shared" si="54"/>
        <v>ostatní nákladní doprava</v>
      </c>
      <c r="D308" s="1249"/>
      <c r="E308" s="2201"/>
      <c r="F308" s="2202"/>
      <c r="G308" s="2202"/>
      <c r="H308" s="2202"/>
      <c r="I308" s="2202"/>
      <c r="J308" s="2202"/>
      <c r="K308" s="2202"/>
      <c r="L308" s="2202"/>
      <c r="M308" s="2202"/>
      <c r="N308" s="2202"/>
      <c r="O308" s="2202"/>
      <c r="P308" s="2202"/>
      <c r="Q308" s="2202"/>
      <c r="R308" s="2202"/>
      <c r="S308" s="2203"/>
      <c r="T308" s="2065"/>
      <c r="U308" s="1264"/>
      <c r="V308" s="1264"/>
      <c r="W308" s="1267"/>
      <c r="X308" s="590"/>
      <c r="Y308" s="590"/>
      <c r="Z308" s="590"/>
      <c r="AA308" s="590"/>
      <c r="AB308" s="590"/>
      <c r="AC308" s="590"/>
    </row>
    <row r="309" spans="1:29" ht="14.25" thickBot="1" x14ac:dyDescent="0.35">
      <c r="A309" s="1272"/>
      <c r="B309" s="1266"/>
      <c r="C309" s="1266"/>
      <c r="D309" s="1266"/>
      <c r="E309" s="2067"/>
      <c r="F309" s="2067"/>
      <c r="G309" s="2067"/>
      <c r="H309" s="2067"/>
      <c r="I309" s="2067"/>
      <c r="J309" s="2067"/>
      <c r="K309" s="2067"/>
      <c r="L309" s="2067"/>
      <c r="M309" s="2067"/>
      <c r="N309" s="2067"/>
      <c r="O309" s="2067"/>
      <c r="P309" s="2067"/>
      <c r="Q309" s="2067"/>
      <c r="R309" s="2067"/>
      <c r="S309" s="2067"/>
      <c r="T309" s="1266"/>
      <c r="U309" s="1277"/>
      <c r="V309" s="1277"/>
      <c r="W309" s="1276"/>
      <c r="X309" s="666"/>
      <c r="Y309" s="666"/>
      <c r="Z309" s="666"/>
      <c r="AA309" s="666"/>
      <c r="AB309" s="666"/>
      <c r="AC309" s="666"/>
    </row>
    <row r="310" spans="1:29" ht="14.25" thickBot="1" x14ac:dyDescent="0.35">
      <c r="A310" s="1279"/>
      <c r="B310" s="1280"/>
      <c r="C310" s="1280"/>
      <c r="D310" s="1280"/>
      <c r="E310" s="1280"/>
      <c r="F310" s="1280"/>
      <c r="G310" s="1280"/>
      <c r="H310" s="1280"/>
      <c r="I310" s="1280"/>
      <c r="J310" s="1280"/>
      <c r="K310" s="1280"/>
      <c r="L310" s="1280"/>
      <c r="M310" s="1280"/>
      <c r="N310" s="1280"/>
      <c r="O310" s="1280"/>
      <c r="P310" s="1280"/>
      <c r="Q310" s="1280"/>
      <c r="R310" s="1280"/>
      <c r="S310" s="1280"/>
      <c r="T310" s="1281"/>
      <c r="U310" s="666"/>
      <c r="V310" s="666"/>
      <c r="W310" s="666"/>
      <c r="X310" s="666"/>
      <c r="Y310" s="666"/>
      <c r="Z310" s="666"/>
      <c r="AA310" s="666"/>
      <c r="AB310" s="666"/>
      <c r="AC310" s="666"/>
    </row>
    <row r="311" spans="1:29" ht="14.25" x14ac:dyDescent="0.3">
      <c r="A311" s="1286"/>
      <c r="B311" s="1156" t="s">
        <v>151</v>
      </c>
      <c r="C311" s="897" t="str">
        <f>IF('0 Úvod'!$M$10="English",Slovnik!$D$370,Slovnik!$C$370)</f>
        <v>Emise škodlivin - t CO2 / rok</v>
      </c>
      <c r="D311" s="898"/>
      <c r="E311" s="2363">
        <f>E249</f>
        <v>2021</v>
      </c>
      <c r="F311" s="2361">
        <f t="shared" ref="F311:S311" si="55">E311+1</f>
        <v>2022</v>
      </c>
      <c r="G311" s="2361">
        <f t="shared" si="55"/>
        <v>2023</v>
      </c>
      <c r="H311" s="2361">
        <f t="shared" si="55"/>
        <v>2024</v>
      </c>
      <c r="I311" s="2361">
        <f t="shared" si="55"/>
        <v>2025</v>
      </c>
      <c r="J311" s="2361">
        <f t="shared" si="55"/>
        <v>2026</v>
      </c>
      <c r="K311" s="2361">
        <f t="shared" si="55"/>
        <v>2027</v>
      </c>
      <c r="L311" s="2361">
        <f t="shared" si="55"/>
        <v>2028</v>
      </c>
      <c r="M311" s="2361">
        <f t="shared" si="55"/>
        <v>2029</v>
      </c>
      <c r="N311" s="2361">
        <f t="shared" si="55"/>
        <v>2030</v>
      </c>
      <c r="O311" s="2361">
        <f t="shared" si="55"/>
        <v>2031</v>
      </c>
      <c r="P311" s="2361">
        <f t="shared" si="55"/>
        <v>2032</v>
      </c>
      <c r="Q311" s="2361">
        <f t="shared" si="55"/>
        <v>2033</v>
      </c>
      <c r="R311" s="2361">
        <f t="shared" si="55"/>
        <v>2034</v>
      </c>
      <c r="S311" s="2365">
        <f t="shared" si="55"/>
        <v>2035</v>
      </c>
      <c r="T311" s="1282"/>
      <c r="U311" s="666"/>
      <c r="V311" s="666"/>
      <c r="W311" s="666"/>
      <c r="X311" s="666"/>
      <c r="Y311" s="666"/>
      <c r="Z311" s="666"/>
      <c r="AA311" s="666"/>
      <c r="AB311" s="666"/>
      <c r="AC311" s="666"/>
    </row>
    <row r="312" spans="1:29" ht="15" thickBot="1" x14ac:dyDescent="0.35">
      <c r="A312" s="1286"/>
      <c r="B312" s="694" t="s">
        <v>23</v>
      </c>
      <c r="C312" s="840" t="str">
        <f>C265</f>
        <v>Scénář s projektem</v>
      </c>
      <c r="D312" s="696" t="str">
        <f>D281</f>
        <v>Celkem</v>
      </c>
      <c r="E312" s="2364"/>
      <c r="F312" s="2362"/>
      <c r="G312" s="2362"/>
      <c r="H312" s="2362"/>
      <c r="I312" s="2362"/>
      <c r="J312" s="2362"/>
      <c r="K312" s="2362"/>
      <c r="L312" s="2362"/>
      <c r="M312" s="2362"/>
      <c r="N312" s="2362"/>
      <c r="O312" s="2362"/>
      <c r="P312" s="2362"/>
      <c r="Q312" s="2362"/>
      <c r="R312" s="2362"/>
      <c r="S312" s="2366"/>
      <c r="T312" s="1282"/>
      <c r="U312" s="666"/>
      <c r="V312" s="666"/>
      <c r="W312" s="666"/>
      <c r="X312" s="666"/>
      <c r="Y312" s="666"/>
      <c r="Z312" s="666"/>
      <c r="AA312" s="666"/>
      <c r="AB312" s="666"/>
      <c r="AC312" s="666"/>
    </row>
    <row r="313" spans="1:29" ht="14.25" x14ac:dyDescent="0.3">
      <c r="A313" s="1286"/>
      <c r="B313" s="1251"/>
      <c r="C313" s="607" t="str">
        <f>IF('0 Úvod'!$M$10="English",Slovnik!D371,Slovnik!C371)</f>
        <v>ŽELEZNIČNÍ osobní doprava</v>
      </c>
      <c r="D313" s="605">
        <f>SUM(E313:S313,E323:S323)</f>
        <v>0</v>
      </c>
      <c r="E313" s="691"/>
      <c r="F313" s="691"/>
      <c r="G313" s="691"/>
      <c r="H313" s="691"/>
      <c r="I313" s="691"/>
      <c r="J313" s="691"/>
      <c r="K313" s="691"/>
      <c r="L313" s="691"/>
      <c r="M313" s="691"/>
      <c r="N313" s="691"/>
      <c r="O313" s="691"/>
      <c r="P313" s="691"/>
      <c r="Q313" s="691"/>
      <c r="R313" s="691"/>
      <c r="S313" s="691"/>
      <c r="T313" s="2079"/>
      <c r="U313" s="666"/>
      <c r="V313" s="666"/>
      <c r="W313" s="666"/>
      <c r="X313" s="666"/>
      <c r="Y313" s="666"/>
      <c r="Z313" s="666"/>
      <c r="AA313" s="666"/>
      <c r="AB313" s="666"/>
      <c r="AC313" s="666"/>
    </row>
    <row r="314" spans="1:29" ht="14.25" x14ac:dyDescent="0.3">
      <c r="A314" s="1286"/>
      <c r="B314" s="1252"/>
      <c r="C314" s="607" t="str">
        <f>IF('0 Úvod'!$M$10="English",Slovnik!D372,Slovnik!C372)</f>
        <v>ŽELEZNIČNÍ nákladní doprava</v>
      </c>
      <c r="D314" s="608">
        <f t="shared" ref="D314:D319" si="56">SUM(E314:S314,E324:S324)</f>
        <v>0</v>
      </c>
      <c r="E314" s="691"/>
      <c r="F314" s="691"/>
      <c r="G314" s="691"/>
      <c r="H314" s="691"/>
      <c r="I314" s="691"/>
      <c r="J314" s="691"/>
      <c r="K314" s="691"/>
      <c r="L314" s="691"/>
      <c r="M314" s="691"/>
      <c r="N314" s="691"/>
      <c r="O314" s="691"/>
      <c r="P314" s="691"/>
      <c r="Q314" s="691"/>
      <c r="R314" s="691"/>
      <c r="S314" s="691"/>
      <c r="T314" s="2079"/>
      <c r="U314" s="666"/>
      <c r="V314" s="666"/>
      <c r="W314" s="666"/>
      <c r="X314" s="666"/>
      <c r="Y314" s="666"/>
      <c r="Z314" s="666"/>
      <c r="AA314" s="666"/>
      <c r="AB314" s="666"/>
      <c r="AC314" s="666"/>
    </row>
    <row r="315" spans="1:29" ht="14.25" x14ac:dyDescent="0.3">
      <c r="A315" s="1286"/>
      <c r="B315" s="1252"/>
      <c r="C315" s="1245" t="str">
        <f>IF('0 Úvod'!$M$10="English",Slovnik!D373,Slovnik!C373)</f>
        <v>SILNIČNÍ osobní doprava</v>
      </c>
      <c r="D315" s="608">
        <f t="shared" si="56"/>
        <v>0</v>
      </c>
      <c r="E315" s="691"/>
      <c r="F315" s="691"/>
      <c r="G315" s="691"/>
      <c r="H315" s="691"/>
      <c r="I315" s="691"/>
      <c r="J315" s="691"/>
      <c r="K315" s="691"/>
      <c r="L315" s="691"/>
      <c r="M315" s="691"/>
      <c r="N315" s="691"/>
      <c r="O315" s="691"/>
      <c r="P315" s="691"/>
      <c r="Q315" s="691"/>
      <c r="R315" s="691"/>
      <c r="S315" s="691"/>
      <c r="T315" s="2079"/>
      <c r="U315" s="666"/>
      <c r="V315" s="666"/>
      <c r="W315" s="666"/>
      <c r="X315" s="666"/>
      <c r="Y315" s="666"/>
      <c r="Z315" s="666"/>
      <c r="AA315" s="666"/>
      <c r="AB315" s="666"/>
      <c r="AC315" s="666"/>
    </row>
    <row r="316" spans="1:29" ht="14.25" x14ac:dyDescent="0.3">
      <c r="A316" s="1286"/>
      <c r="B316" s="1252"/>
      <c r="C316" s="1245" t="str">
        <f>IF('0 Úvod'!$M$10="English",Slovnik!D374,Slovnik!C374)</f>
        <v>SILNIČNÍ nákladní doprava</v>
      </c>
      <c r="D316" s="608">
        <f t="shared" si="56"/>
        <v>0</v>
      </c>
      <c r="E316" s="691"/>
      <c r="F316" s="691"/>
      <c r="G316" s="691"/>
      <c r="H316" s="691"/>
      <c r="I316" s="691"/>
      <c r="J316" s="691"/>
      <c r="K316" s="691"/>
      <c r="L316" s="691"/>
      <c r="M316" s="691"/>
      <c r="N316" s="691"/>
      <c r="O316" s="691"/>
      <c r="P316" s="691"/>
      <c r="Q316" s="691"/>
      <c r="R316" s="691"/>
      <c r="S316" s="691"/>
      <c r="T316" s="2079"/>
      <c r="U316" s="666"/>
      <c r="V316" s="666"/>
      <c r="W316" s="666"/>
      <c r="X316" s="666"/>
      <c r="Y316" s="666"/>
      <c r="Z316" s="666"/>
      <c r="AA316" s="666"/>
      <c r="AB316" s="666"/>
      <c r="AC316" s="666"/>
    </row>
    <row r="317" spans="1:29" ht="14.25" x14ac:dyDescent="0.3">
      <c r="A317" s="1286"/>
      <c r="B317" s="1252"/>
      <c r="C317" s="1245" t="str">
        <f>IF('0 Úvod'!$M$10="English",Slovnik!D375,Slovnik!C375)</f>
        <v>VODNÍ nákladní doprava</v>
      </c>
      <c r="D317" s="608">
        <f t="shared" si="56"/>
        <v>0</v>
      </c>
      <c r="E317" s="691"/>
      <c r="F317" s="691"/>
      <c r="G317" s="691"/>
      <c r="H317" s="691"/>
      <c r="I317" s="691"/>
      <c r="J317" s="691"/>
      <c r="K317" s="691"/>
      <c r="L317" s="691"/>
      <c r="M317" s="691"/>
      <c r="N317" s="691"/>
      <c r="O317" s="691"/>
      <c r="P317" s="691"/>
      <c r="Q317" s="691"/>
      <c r="R317" s="691"/>
      <c r="S317" s="691"/>
      <c r="T317" s="2079"/>
      <c r="U317" s="666"/>
      <c r="V317" s="666"/>
      <c r="W317" s="666"/>
      <c r="X317" s="666"/>
      <c r="Y317" s="666"/>
      <c r="Z317" s="666"/>
      <c r="AA317" s="666"/>
      <c r="AB317" s="666"/>
      <c r="AC317" s="666"/>
    </row>
    <row r="318" spans="1:29" ht="14.25" x14ac:dyDescent="0.3">
      <c r="A318" s="1286"/>
      <c r="B318" s="1252"/>
      <c r="C318" s="1245" t="str">
        <f>IF('0 Úvod'!$M$10="English",Slovnik!D376,Slovnik!C376)</f>
        <v>OSTATNÍ osobní doprava</v>
      </c>
      <c r="D318" s="608">
        <f t="shared" si="56"/>
        <v>0</v>
      </c>
      <c r="E318" s="691"/>
      <c r="F318" s="691"/>
      <c r="G318" s="691"/>
      <c r="H318" s="691"/>
      <c r="I318" s="691"/>
      <c r="J318" s="691"/>
      <c r="K318" s="691"/>
      <c r="L318" s="691"/>
      <c r="M318" s="691"/>
      <c r="N318" s="691"/>
      <c r="O318" s="691"/>
      <c r="P318" s="691"/>
      <c r="Q318" s="691"/>
      <c r="R318" s="691"/>
      <c r="S318" s="691"/>
      <c r="T318" s="2079"/>
      <c r="U318" s="666"/>
      <c r="V318" s="666"/>
      <c r="W318" s="666"/>
      <c r="X318" s="666"/>
      <c r="Y318" s="666"/>
      <c r="Z318" s="666"/>
      <c r="AA318" s="666"/>
      <c r="AB318" s="666"/>
      <c r="AC318" s="666"/>
    </row>
    <row r="319" spans="1:29" ht="15" thickBot="1" x14ac:dyDescent="0.35">
      <c r="A319" s="1286"/>
      <c r="B319" s="1258"/>
      <c r="C319" s="1248" t="str">
        <f>IF('0 Úvod'!$M$10="English",Slovnik!D377,Slovnik!C377)</f>
        <v>OSTATNÍ nákladní doprava</v>
      </c>
      <c r="D319" s="1250">
        <f t="shared" si="56"/>
        <v>0</v>
      </c>
      <c r="E319" s="691"/>
      <c r="F319" s="691"/>
      <c r="G319" s="691"/>
      <c r="H319" s="691"/>
      <c r="I319" s="691"/>
      <c r="J319" s="691"/>
      <c r="K319" s="691"/>
      <c r="L319" s="691"/>
      <c r="M319" s="691"/>
      <c r="N319" s="691"/>
      <c r="O319" s="691"/>
      <c r="P319" s="691"/>
      <c r="Q319" s="691"/>
      <c r="R319" s="691"/>
      <c r="S319" s="691"/>
      <c r="T319" s="2079"/>
      <c r="U319" s="666"/>
      <c r="V319" s="666"/>
      <c r="W319" s="666"/>
      <c r="X319" s="666"/>
      <c r="Y319" s="666"/>
      <c r="Z319" s="666"/>
      <c r="AA319" s="666"/>
      <c r="AB319" s="666"/>
      <c r="AC319" s="666"/>
    </row>
    <row r="320" spans="1:29" ht="14.25" thickBot="1" x14ac:dyDescent="0.35">
      <c r="A320" s="1286"/>
      <c r="B320" s="1283"/>
      <c r="C320" s="1284"/>
      <c r="D320" s="1285"/>
      <c r="E320" s="2068"/>
      <c r="F320" s="2068"/>
      <c r="G320" s="2068"/>
      <c r="H320" s="2068"/>
      <c r="I320" s="2068"/>
      <c r="J320" s="2068"/>
      <c r="K320" s="2068"/>
      <c r="L320" s="2068"/>
      <c r="M320" s="2068"/>
      <c r="N320" s="2068"/>
      <c r="O320" s="2068"/>
      <c r="P320" s="2068"/>
      <c r="Q320" s="2068"/>
      <c r="R320" s="2068"/>
      <c r="S320" s="2068"/>
      <c r="T320" s="1282"/>
      <c r="U320" s="666"/>
      <c r="V320" s="666"/>
      <c r="W320" s="666"/>
      <c r="X320" s="666"/>
      <c r="Y320" s="666"/>
      <c r="Z320" s="666"/>
      <c r="AA320" s="666"/>
      <c r="AB320" s="666"/>
      <c r="AC320" s="666"/>
    </row>
    <row r="321" spans="1:29" ht="14.25" x14ac:dyDescent="0.3">
      <c r="A321" s="1286"/>
      <c r="B321" s="1156" t="str">
        <f>B311</f>
        <v>6.9.</v>
      </c>
      <c r="C321" s="897" t="str">
        <f>IF('0 Úvod'!$M$10="English",Slovnik!$D$378,Slovnik!$C$378)</f>
        <v>Zmírnění změny klimatu - t CO2 / rok</v>
      </c>
      <c r="D321" s="899"/>
      <c r="E321" s="2363">
        <f>S311+1</f>
        <v>2036</v>
      </c>
      <c r="F321" s="2361">
        <f t="shared" ref="F321:S321" si="57">E321+1</f>
        <v>2037</v>
      </c>
      <c r="G321" s="2361">
        <f t="shared" si="57"/>
        <v>2038</v>
      </c>
      <c r="H321" s="2361">
        <f t="shared" si="57"/>
        <v>2039</v>
      </c>
      <c r="I321" s="2361">
        <f t="shared" si="57"/>
        <v>2040</v>
      </c>
      <c r="J321" s="2361">
        <f t="shared" si="57"/>
        <v>2041</v>
      </c>
      <c r="K321" s="2361">
        <f t="shared" si="57"/>
        <v>2042</v>
      </c>
      <c r="L321" s="2361">
        <f t="shared" si="57"/>
        <v>2043</v>
      </c>
      <c r="M321" s="2361">
        <f t="shared" si="57"/>
        <v>2044</v>
      </c>
      <c r="N321" s="2361">
        <f t="shared" si="57"/>
        <v>2045</v>
      </c>
      <c r="O321" s="2361">
        <f t="shared" si="57"/>
        <v>2046</v>
      </c>
      <c r="P321" s="2361">
        <f t="shared" si="57"/>
        <v>2047</v>
      </c>
      <c r="Q321" s="2361">
        <f t="shared" si="57"/>
        <v>2048</v>
      </c>
      <c r="R321" s="2361">
        <f t="shared" si="57"/>
        <v>2049</v>
      </c>
      <c r="S321" s="2365">
        <f t="shared" si="57"/>
        <v>2050</v>
      </c>
      <c r="T321" s="1282"/>
      <c r="U321" s="666"/>
      <c r="V321" s="666"/>
      <c r="W321" s="666"/>
      <c r="X321" s="666"/>
      <c r="Y321" s="666"/>
      <c r="Z321" s="666"/>
      <c r="AA321" s="666"/>
      <c r="AB321" s="666"/>
      <c r="AC321" s="666"/>
    </row>
    <row r="322" spans="1:29" ht="15" thickBot="1" x14ac:dyDescent="0.35">
      <c r="A322" s="1286"/>
      <c r="B322" s="694" t="s">
        <v>24</v>
      </c>
      <c r="C322" s="840" t="str">
        <f>C312</f>
        <v>Scénář s projektem</v>
      </c>
      <c r="D322" s="1256"/>
      <c r="E322" s="2364"/>
      <c r="F322" s="2362"/>
      <c r="G322" s="2362"/>
      <c r="H322" s="2362"/>
      <c r="I322" s="2362"/>
      <c r="J322" s="2362"/>
      <c r="K322" s="2362"/>
      <c r="L322" s="2362"/>
      <c r="M322" s="2362"/>
      <c r="N322" s="2362"/>
      <c r="O322" s="2362"/>
      <c r="P322" s="2362"/>
      <c r="Q322" s="2362"/>
      <c r="R322" s="2362"/>
      <c r="S322" s="2366"/>
      <c r="T322" s="1282"/>
      <c r="U322" s="666"/>
      <c r="V322" s="666"/>
      <c r="W322" s="666"/>
      <c r="X322" s="666"/>
      <c r="Y322" s="666"/>
      <c r="Z322" s="666"/>
      <c r="AA322" s="666"/>
      <c r="AB322" s="666"/>
      <c r="AC322" s="666"/>
    </row>
    <row r="323" spans="1:29" ht="14.25" x14ac:dyDescent="0.3">
      <c r="A323" s="1286"/>
      <c r="B323" s="1251"/>
      <c r="C323" s="607" t="str">
        <f>C313</f>
        <v>ŽELEZNIČNÍ osobní doprava</v>
      </c>
      <c r="D323" s="912"/>
      <c r="E323" s="691"/>
      <c r="F323" s="693"/>
      <c r="G323" s="693"/>
      <c r="H323" s="693"/>
      <c r="I323" s="693"/>
      <c r="J323" s="693"/>
      <c r="K323" s="693"/>
      <c r="L323" s="693"/>
      <c r="M323" s="693"/>
      <c r="N323" s="693"/>
      <c r="O323" s="693"/>
      <c r="P323" s="693"/>
      <c r="Q323" s="693"/>
      <c r="R323" s="693"/>
      <c r="S323" s="693"/>
      <c r="T323" s="2079"/>
      <c r="U323" s="666"/>
      <c r="V323" s="666"/>
      <c r="W323" s="666"/>
      <c r="X323" s="666"/>
      <c r="Y323" s="666"/>
      <c r="Z323" s="666"/>
      <c r="AA323" s="666"/>
      <c r="AB323" s="666"/>
      <c r="AC323" s="666"/>
    </row>
    <row r="324" spans="1:29" ht="14.25" x14ac:dyDescent="0.3">
      <c r="A324" s="1286"/>
      <c r="B324" s="1253"/>
      <c r="C324" s="607" t="str">
        <f t="shared" ref="C324:C329" si="58">C314</f>
        <v>ŽELEZNIČNÍ nákladní doprava</v>
      </c>
      <c r="D324" s="625"/>
      <c r="E324" s="693"/>
      <c r="F324" s="693"/>
      <c r="G324" s="693"/>
      <c r="H324" s="693"/>
      <c r="I324" s="693"/>
      <c r="J324" s="693"/>
      <c r="K324" s="693"/>
      <c r="L324" s="693"/>
      <c r="M324" s="693"/>
      <c r="N324" s="693"/>
      <c r="O324" s="693"/>
      <c r="P324" s="693"/>
      <c r="Q324" s="693"/>
      <c r="R324" s="693"/>
      <c r="S324" s="693"/>
      <c r="T324" s="2079"/>
      <c r="U324" s="666"/>
      <c r="V324" s="666"/>
      <c r="W324" s="666"/>
      <c r="X324" s="666"/>
      <c r="Y324" s="666"/>
      <c r="Z324" s="666"/>
      <c r="AA324" s="666"/>
      <c r="AB324" s="666"/>
      <c r="AC324" s="666"/>
    </row>
    <row r="325" spans="1:29" ht="14.25" x14ac:dyDescent="0.3">
      <c r="A325" s="1286"/>
      <c r="B325" s="1253"/>
      <c r="C325" s="1245" t="str">
        <f t="shared" si="58"/>
        <v>SILNIČNÍ osobní doprava</v>
      </c>
      <c r="D325" s="625"/>
      <c r="E325" s="693"/>
      <c r="F325" s="693"/>
      <c r="G325" s="693"/>
      <c r="H325" s="693"/>
      <c r="I325" s="693"/>
      <c r="J325" s="693"/>
      <c r="K325" s="693"/>
      <c r="L325" s="693"/>
      <c r="M325" s="693"/>
      <c r="N325" s="693"/>
      <c r="O325" s="693"/>
      <c r="P325" s="693"/>
      <c r="Q325" s="693"/>
      <c r="R325" s="693"/>
      <c r="S325" s="693"/>
      <c r="T325" s="2079"/>
      <c r="U325" s="666"/>
      <c r="V325" s="666"/>
      <c r="W325" s="666"/>
      <c r="X325" s="666"/>
      <c r="Y325" s="666"/>
      <c r="Z325" s="666"/>
      <c r="AA325" s="666"/>
      <c r="AB325" s="666"/>
      <c r="AC325" s="666"/>
    </row>
    <row r="326" spans="1:29" ht="14.25" x14ac:dyDescent="0.3">
      <c r="A326" s="1286"/>
      <c r="B326" s="1253"/>
      <c r="C326" s="1245" t="str">
        <f t="shared" si="58"/>
        <v>SILNIČNÍ nákladní doprava</v>
      </c>
      <c r="D326" s="625"/>
      <c r="E326" s="693"/>
      <c r="F326" s="693"/>
      <c r="G326" s="693"/>
      <c r="H326" s="693"/>
      <c r="I326" s="693"/>
      <c r="J326" s="693"/>
      <c r="K326" s="693"/>
      <c r="L326" s="693"/>
      <c r="M326" s="693"/>
      <c r="N326" s="693"/>
      <c r="O326" s="693"/>
      <c r="P326" s="693"/>
      <c r="Q326" s="693"/>
      <c r="R326" s="693"/>
      <c r="S326" s="693"/>
      <c r="T326" s="2079"/>
      <c r="U326" s="666"/>
      <c r="V326" s="666"/>
      <c r="W326" s="666"/>
      <c r="X326" s="666"/>
      <c r="Y326" s="666"/>
      <c r="Z326" s="666"/>
      <c r="AA326" s="666"/>
      <c r="AB326" s="666"/>
      <c r="AC326" s="666"/>
    </row>
    <row r="327" spans="1:29" ht="14.25" x14ac:dyDescent="0.3">
      <c r="A327" s="1286"/>
      <c r="B327" s="1253"/>
      <c r="C327" s="1245" t="str">
        <f t="shared" si="58"/>
        <v>VODNÍ nákladní doprava</v>
      </c>
      <c r="D327" s="625"/>
      <c r="E327" s="693"/>
      <c r="F327" s="693"/>
      <c r="G327" s="693"/>
      <c r="H327" s="693"/>
      <c r="I327" s="693"/>
      <c r="J327" s="693"/>
      <c r="K327" s="693"/>
      <c r="L327" s="693"/>
      <c r="M327" s="693"/>
      <c r="N327" s="693"/>
      <c r="O327" s="693"/>
      <c r="P327" s="693"/>
      <c r="Q327" s="693"/>
      <c r="R327" s="693"/>
      <c r="S327" s="693"/>
      <c r="T327" s="2079"/>
      <c r="U327" s="666"/>
      <c r="V327" s="666"/>
      <c r="W327" s="666"/>
      <c r="X327" s="666"/>
      <c r="Y327" s="666"/>
      <c r="Z327" s="666"/>
      <c r="AA327" s="666"/>
      <c r="AB327" s="666"/>
      <c r="AC327" s="666"/>
    </row>
    <row r="328" spans="1:29" ht="14.25" x14ac:dyDescent="0.3">
      <c r="A328" s="1286"/>
      <c r="B328" s="1253"/>
      <c r="C328" s="1245" t="str">
        <f t="shared" si="58"/>
        <v>OSTATNÍ osobní doprava</v>
      </c>
      <c r="D328" s="625"/>
      <c r="E328" s="693"/>
      <c r="F328" s="693"/>
      <c r="G328" s="693"/>
      <c r="H328" s="693"/>
      <c r="I328" s="693"/>
      <c r="J328" s="693"/>
      <c r="K328" s="693"/>
      <c r="L328" s="693"/>
      <c r="M328" s="693"/>
      <c r="N328" s="693"/>
      <c r="O328" s="693"/>
      <c r="P328" s="693"/>
      <c r="Q328" s="693"/>
      <c r="R328" s="693"/>
      <c r="S328" s="693"/>
      <c r="T328" s="2079"/>
      <c r="U328" s="666"/>
      <c r="V328" s="666"/>
      <c r="W328" s="666"/>
      <c r="X328" s="666"/>
      <c r="Y328" s="666"/>
      <c r="Z328" s="666"/>
      <c r="AA328" s="666"/>
      <c r="AB328" s="666"/>
      <c r="AC328" s="666"/>
    </row>
    <row r="329" spans="1:29" ht="15" thickBot="1" x14ac:dyDescent="0.35">
      <c r="A329" s="1286"/>
      <c r="B329" s="1259"/>
      <c r="C329" s="1248" t="str">
        <f t="shared" si="58"/>
        <v>OSTATNÍ nákladní doprava</v>
      </c>
      <c r="D329" s="1249"/>
      <c r="E329" s="693"/>
      <c r="F329" s="693"/>
      <c r="G329" s="693"/>
      <c r="H329" s="693"/>
      <c r="I329" s="693"/>
      <c r="J329" s="693"/>
      <c r="K329" s="693"/>
      <c r="L329" s="693"/>
      <c r="M329" s="693"/>
      <c r="N329" s="693"/>
      <c r="O329" s="693"/>
      <c r="P329" s="693"/>
      <c r="Q329" s="693"/>
      <c r="R329" s="693"/>
      <c r="S329" s="693"/>
      <c r="T329" s="2079"/>
      <c r="U329" s="666"/>
      <c r="V329" s="666"/>
      <c r="W329" s="666"/>
      <c r="X329" s="666"/>
      <c r="Y329" s="666"/>
      <c r="Z329" s="666"/>
      <c r="AA329" s="666"/>
      <c r="AB329" s="666"/>
      <c r="AC329" s="666"/>
    </row>
    <row r="330" spans="1:29" x14ac:dyDescent="0.3">
      <c r="A330" s="1286"/>
      <c r="B330" s="1287"/>
      <c r="C330" s="1288"/>
      <c r="D330" s="1285"/>
      <c r="E330" s="2069"/>
      <c r="F330" s="2069"/>
      <c r="G330" s="2069"/>
      <c r="H330" s="2069"/>
      <c r="I330" s="2069"/>
      <c r="J330" s="2069"/>
      <c r="K330" s="2069"/>
      <c r="L330" s="2069"/>
      <c r="M330" s="2069"/>
      <c r="N330" s="2069"/>
      <c r="O330" s="2069"/>
      <c r="P330" s="2069"/>
      <c r="Q330" s="2069"/>
      <c r="R330" s="2069"/>
      <c r="S330" s="2069"/>
      <c r="T330" s="1282"/>
      <c r="U330" s="666"/>
      <c r="V330" s="666"/>
      <c r="W330" s="666"/>
      <c r="X330" s="666"/>
      <c r="Y330" s="666"/>
      <c r="Z330" s="666"/>
      <c r="AA330" s="666"/>
      <c r="AB330" s="666"/>
      <c r="AC330" s="666"/>
    </row>
    <row r="331" spans="1:29" ht="14.25" thickBot="1" x14ac:dyDescent="0.35">
      <c r="A331" s="1286"/>
      <c r="B331" s="1287"/>
      <c r="C331" s="1288"/>
      <c r="D331" s="1285"/>
      <c r="E331" s="1289"/>
      <c r="F331" s="1289"/>
      <c r="G331" s="1289"/>
      <c r="H331" s="1289"/>
      <c r="I331" s="1289"/>
      <c r="J331" s="1289"/>
      <c r="K331" s="1289"/>
      <c r="L331" s="1289"/>
      <c r="M331" s="1289"/>
      <c r="N331" s="1289"/>
      <c r="O331" s="1289"/>
      <c r="P331" s="1289"/>
      <c r="Q331" s="1289"/>
      <c r="R331" s="1289"/>
      <c r="S331" s="1289"/>
      <c r="T331" s="1282"/>
      <c r="U331" s="666"/>
      <c r="V331" s="666"/>
      <c r="W331" s="666"/>
      <c r="X331" s="666"/>
      <c r="Y331" s="666"/>
      <c r="Z331" s="666"/>
      <c r="AA331" s="666"/>
      <c r="AB331" s="666"/>
      <c r="AC331" s="666"/>
    </row>
    <row r="332" spans="1:29" ht="14.25" x14ac:dyDescent="0.3">
      <c r="A332" s="1286"/>
      <c r="B332" s="1368" t="s">
        <v>152</v>
      </c>
      <c r="C332" s="1254" t="str">
        <f>C311</f>
        <v>Emise škodlivin - t CO2 / rok</v>
      </c>
      <c r="D332" s="947"/>
      <c r="E332" s="2379">
        <f>E311</f>
        <v>2021</v>
      </c>
      <c r="F332" s="2373">
        <f t="shared" ref="F332:S332" si="59">E332+1</f>
        <v>2022</v>
      </c>
      <c r="G332" s="2373">
        <f t="shared" si="59"/>
        <v>2023</v>
      </c>
      <c r="H332" s="2373">
        <f t="shared" si="59"/>
        <v>2024</v>
      </c>
      <c r="I332" s="2373">
        <f t="shared" si="59"/>
        <v>2025</v>
      </c>
      <c r="J332" s="2373">
        <f t="shared" si="59"/>
        <v>2026</v>
      </c>
      <c r="K332" s="2373">
        <f t="shared" si="59"/>
        <v>2027</v>
      </c>
      <c r="L332" s="2373">
        <f t="shared" si="59"/>
        <v>2028</v>
      </c>
      <c r="M332" s="2373">
        <f t="shared" si="59"/>
        <v>2029</v>
      </c>
      <c r="N332" s="2373">
        <f t="shared" si="59"/>
        <v>2030</v>
      </c>
      <c r="O332" s="2373">
        <f t="shared" si="59"/>
        <v>2031</v>
      </c>
      <c r="P332" s="2373">
        <f t="shared" si="59"/>
        <v>2032</v>
      </c>
      <c r="Q332" s="2373">
        <f t="shared" si="59"/>
        <v>2033</v>
      </c>
      <c r="R332" s="2373">
        <f t="shared" si="59"/>
        <v>2034</v>
      </c>
      <c r="S332" s="2367">
        <f t="shared" si="59"/>
        <v>2035</v>
      </c>
      <c r="T332" s="1282"/>
      <c r="U332" s="666"/>
      <c r="V332" s="666"/>
      <c r="W332" s="666"/>
      <c r="X332" s="666"/>
      <c r="Y332" s="666"/>
      <c r="Z332" s="666"/>
      <c r="AA332" s="666"/>
      <c r="AB332" s="666"/>
      <c r="AC332" s="666"/>
    </row>
    <row r="333" spans="1:29" ht="15" thickBot="1" x14ac:dyDescent="0.35">
      <c r="A333" s="1286"/>
      <c r="B333" s="875" t="s">
        <v>23</v>
      </c>
      <c r="C333" s="876" t="str">
        <f>C281</f>
        <v>Scénář bez projektu</v>
      </c>
      <c r="D333" s="635" t="str">
        <f>D312</f>
        <v>Celkem</v>
      </c>
      <c r="E333" s="2380"/>
      <c r="F333" s="2374"/>
      <c r="G333" s="2374"/>
      <c r="H333" s="2374"/>
      <c r="I333" s="2374"/>
      <c r="J333" s="2374"/>
      <c r="K333" s="2374"/>
      <c r="L333" s="2374"/>
      <c r="M333" s="2374"/>
      <c r="N333" s="2374"/>
      <c r="O333" s="2374"/>
      <c r="P333" s="2374"/>
      <c r="Q333" s="2374"/>
      <c r="R333" s="2374"/>
      <c r="S333" s="2368"/>
      <c r="T333" s="1282"/>
      <c r="U333" s="666"/>
      <c r="V333" s="666"/>
      <c r="W333" s="666"/>
      <c r="X333" s="666"/>
      <c r="Y333" s="666"/>
      <c r="Z333" s="666"/>
      <c r="AA333" s="666"/>
      <c r="AB333" s="666"/>
      <c r="AC333" s="666"/>
    </row>
    <row r="334" spans="1:29" ht="14.25" x14ac:dyDescent="0.3">
      <c r="A334" s="1286"/>
      <c r="B334" s="1251"/>
      <c r="C334" s="607" t="str">
        <f>C313</f>
        <v>ŽELEZNIČNÍ osobní doprava</v>
      </c>
      <c r="D334" s="605">
        <f>SUM(E334:S334,E344:S344)</f>
        <v>0</v>
      </c>
      <c r="E334" s="691"/>
      <c r="F334" s="691"/>
      <c r="G334" s="691"/>
      <c r="H334" s="691"/>
      <c r="I334" s="691"/>
      <c r="J334" s="691"/>
      <c r="K334" s="691"/>
      <c r="L334" s="691"/>
      <c r="M334" s="691"/>
      <c r="N334" s="691"/>
      <c r="O334" s="691"/>
      <c r="P334" s="691"/>
      <c r="Q334" s="691"/>
      <c r="R334" s="691"/>
      <c r="S334" s="691"/>
      <c r="T334" s="2079"/>
      <c r="U334" s="666"/>
      <c r="V334" s="666"/>
      <c r="W334" s="666"/>
      <c r="X334" s="666"/>
      <c r="Y334" s="666"/>
      <c r="Z334" s="666"/>
      <c r="AA334" s="666"/>
      <c r="AB334" s="666"/>
      <c r="AC334" s="666"/>
    </row>
    <row r="335" spans="1:29" ht="14.25" x14ac:dyDescent="0.3">
      <c r="A335" s="1286"/>
      <c r="B335" s="1252"/>
      <c r="C335" s="607" t="str">
        <f t="shared" ref="C335:C340" si="60">C314</f>
        <v>ŽELEZNIČNÍ nákladní doprava</v>
      </c>
      <c r="D335" s="608">
        <f t="shared" ref="D335:D340" si="61">SUM(E335:S335,E345:S345)</f>
        <v>0</v>
      </c>
      <c r="E335" s="691"/>
      <c r="F335" s="691"/>
      <c r="G335" s="691"/>
      <c r="H335" s="691"/>
      <c r="I335" s="691"/>
      <c r="J335" s="691"/>
      <c r="K335" s="691"/>
      <c r="L335" s="691"/>
      <c r="M335" s="691"/>
      <c r="N335" s="691"/>
      <c r="O335" s="691"/>
      <c r="P335" s="691"/>
      <c r="Q335" s="691"/>
      <c r="R335" s="691"/>
      <c r="S335" s="691"/>
      <c r="T335" s="2079"/>
      <c r="U335" s="666"/>
      <c r="V335" s="666"/>
      <c r="W335" s="666"/>
      <c r="X335" s="666"/>
      <c r="Y335" s="666"/>
      <c r="Z335" s="666"/>
      <c r="AA335" s="666"/>
      <c r="AB335" s="666"/>
      <c r="AC335" s="666"/>
    </row>
    <row r="336" spans="1:29" ht="14.25" x14ac:dyDescent="0.3">
      <c r="A336" s="1286"/>
      <c r="B336" s="1252"/>
      <c r="C336" s="1245" t="str">
        <f t="shared" si="60"/>
        <v>SILNIČNÍ osobní doprava</v>
      </c>
      <c r="D336" s="608">
        <f t="shared" si="61"/>
        <v>0</v>
      </c>
      <c r="E336" s="691"/>
      <c r="F336" s="691"/>
      <c r="G336" s="691"/>
      <c r="H336" s="691"/>
      <c r="I336" s="691"/>
      <c r="J336" s="691"/>
      <c r="K336" s="691"/>
      <c r="L336" s="691"/>
      <c r="M336" s="691"/>
      <c r="N336" s="691"/>
      <c r="O336" s="691"/>
      <c r="P336" s="691"/>
      <c r="Q336" s="691"/>
      <c r="R336" s="691"/>
      <c r="S336" s="691"/>
      <c r="T336" s="2079"/>
      <c r="U336" s="666"/>
      <c r="V336" s="666"/>
      <c r="W336" s="666"/>
      <c r="X336" s="666"/>
      <c r="Y336" s="666"/>
      <c r="Z336" s="666"/>
      <c r="AA336" s="666"/>
      <c r="AB336" s="666"/>
      <c r="AC336" s="666"/>
    </row>
    <row r="337" spans="1:29" ht="14.25" x14ac:dyDescent="0.3">
      <c r="A337" s="1286"/>
      <c r="B337" s="1252"/>
      <c r="C337" s="1245" t="str">
        <f t="shared" si="60"/>
        <v>SILNIČNÍ nákladní doprava</v>
      </c>
      <c r="D337" s="608">
        <f t="shared" si="61"/>
        <v>0</v>
      </c>
      <c r="E337" s="691"/>
      <c r="F337" s="691"/>
      <c r="G337" s="691"/>
      <c r="H337" s="691"/>
      <c r="I337" s="691"/>
      <c r="J337" s="691"/>
      <c r="K337" s="691"/>
      <c r="L337" s="691"/>
      <c r="M337" s="691"/>
      <c r="N337" s="691"/>
      <c r="O337" s="691"/>
      <c r="P337" s="691"/>
      <c r="Q337" s="691"/>
      <c r="R337" s="691"/>
      <c r="S337" s="691"/>
      <c r="T337" s="2079"/>
      <c r="U337" s="666"/>
      <c r="V337" s="666"/>
      <c r="W337" s="666"/>
      <c r="X337" s="666"/>
      <c r="Y337" s="666"/>
      <c r="Z337" s="666"/>
      <c r="AA337" s="666"/>
      <c r="AB337" s="666"/>
      <c r="AC337" s="666"/>
    </row>
    <row r="338" spans="1:29" ht="14.25" x14ac:dyDescent="0.3">
      <c r="A338" s="1286"/>
      <c r="B338" s="1252"/>
      <c r="C338" s="1245" t="str">
        <f t="shared" si="60"/>
        <v>VODNÍ nákladní doprava</v>
      </c>
      <c r="D338" s="608">
        <f t="shared" si="61"/>
        <v>0</v>
      </c>
      <c r="E338" s="691"/>
      <c r="F338" s="691"/>
      <c r="G338" s="691"/>
      <c r="H338" s="691"/>
      <c r="I338" s="691"/>
      <c r="J338" s="691"/>
      <c r="K338" s="691"/>
      <c r="L338" s="691"/>
      <c r="M338" s="691"/>
      <c r="N338" s="691"/>
      <c r="O338" s="691"/>
      <c r="P338" s="691"/>
      <c r="Q338" s="691"/>
      <c r="R338" s="691"/>
      <c r="S338" s="691"/>
      <c r="T338" s="2079"/>
      <c r="U338" s="666"/>
      <c r="V338" s="666"/>
      <c r="W338" s="666"/>
      <c r="X338" s="666"/>
      <c r="Y338" s="666"/>
      <c r="Z338" s="666"/>
      <c r="AA338" s="666"/>
      <c r="AB338" s="666"/>
      <c r="AC338" s="666"/>
    </row>
    <row r="339" spans="1:29" ht="14.25" x14ac:dyDescent="0.3">
      <c r="A339" s="1286"/>
      <c r="B339" s="1252"/>
      <c r="C339" s="1245" t="str">
        <f t="shared" si="60"/>
        <v>OSTATNÍ osobní doprava</v>
      </c>
      <c r="D339" s="608">
        <f t="shared" si="61"/>
        <v>0</v>
      </c>
      <c r="E339" s="691"/>
      <c r="F339" s="691"/>
      <c r="G339" s="691"/>
      <c r="H339" s="691"/>
      <c r="I339" s="691"/>
      <c r="J339" s="691"/>
      <c r="K339" s="691"/>
      <c r="L339" s="691"/>
      <c r="M339" s="691"/>
      <c r="N339" s="691"/>
      <c r="O339" s="691"/>
      <c r="P339" s="691"/>
      <c r="Q339" s="691"/>
      <c r="R339" s="691"/>
      <c r="S339" s="691"/>
      <c r="T339" s="2079"/>
      <c r="U339" s="666"/>
      <c r="V339" s="666"/>
      <c r="W339" s="666"/>
      <c r="X339" s="666"/>
      <c r="Y339" s="666"/>
      <c r="Z339" s="666"/>
      <c r="AA339" s="666"/>
      <c r="AB339" s="666"/>
      <c r="AC339" s="666"/>
    </row>
    <row r="340" spans="1:29" ht="15" thickBot="1" x14ac:dyDescent="0.35">
      <c r="A340" s="1286"/>
      <c r="B340" s="1258"/>
      <c r="C340" s="1248" t="str">
        <f t="shared" si="60"/>
        <v>OSTATNÍ nákladní doprava</v>
      </c>
      <c r="D340" s="1250">
        <f t="shared" si="61"/>
        <v>0</v>
      </c>
      <c r="E340" s="691"/>
      <c r="F340" s="691"/>
      <c r="G340" s="691"/>
      <c r="H340" s="691"/>
      <c r="I340" s="691"/>
      <c r="J340" s="691"/>
      <c r="K340" s="691"/>
      <c r="L340" s="691"/>
      <c r="M340" s="691"/>
      <c r="N340" s="691"/>
      <c r="O340" s="691"/>
      <c r="P340" s="691"/>
      <c r="Q340" s="691"/>
      <c r="R340" s="691"/>
      <c r="S340" s="691"/>
      <c r="T340" s="2079"/>
      <c r="U340" s="666"/>
      <c r="V340" s="666"/>
      <c r="W340" s="666"/>
      <c r="X340" s="666"/>
      <c r="Y340" s="666"/>
      <c r="Z340" s="666"/>
      <c r="AA340" s="666"/>
      <c r="AB340" s="666"/>
      <c r="AC340" s="666"/>
    </row>
    <row r="341" spans="1:29" ht="14.25" thickBot="1" x14ac:dyDescent="0.35">
      <c r="A341" s="1286"/>
      <c r="B341" s="1283"/>
      <c r="C341" s="1284"/>
      <c r="D341" s="1285"/>
      <c r="E341" s="2068"/>
      <c r="F341" s="2068"/>
      <c r="G341" s="2068"/>
      <c r="H341" s="2068"/>
      <c r="I341" s="2068"/>
      <c r="J341" s="2068"/>
      <c r="K341" s="2068"/>
      <c r="L341" s="2068"/>
      <c r="M341" s="2068"/>
      <c r="N341" s="2068"/>
      <c r="O341" s="2068"/>
      <c r="P341" s="2068"/>
      <c r="Q341" s="2068"/>
      <c r="R341" s="2068"/>
      <c r="S341" s="2068"/>
      <c r="T341" s="1282"/>
      <c r="U341" s="666"/>
      <c r="V341" s="666"/>
      <c r="W341" s="666"/>
      <c r="X341" s="666"/>
      <c r="Y341" s="666"/>
      <c r="Z341" s="666"/>
      <c r="AA341" s="666"/>
      <c r="AB341" s="666"/>
      <c r="AC341" s="666"/>
    </row>
    <row r="342" spans="1:29" ht="14.25" x14ac:dyDescent="0.3">
      <c r="A342" s="1286"/>
      <c r="B342" s="1368" t="str">
        <f>B332</f>
        <v>6.10.</v>
      </c>
      <c r="C342" s="1254" t="str">
        <f>C321</f>
        <v>Zmírnění změny klimatu - t CO2 / rok</v>
      </c>
      <c r="D342" s="949"/>
      <c r="E342" s="2379">
        <f>S332+1</f>
        <v>2036</v>
      </c>
      <c r="F342" s="2373">
        <f t="shared" ref="F342:S342" si="62">E342+1</f>
        <v>2037</v>
      </c>
      <c r="G342" s="2373">
        <f t="shared" si="62"/>
        <v>2038</v>
      </c>
      <c r="H342" s="2373">
        <f t="shared" si="62"/>
        <v>2039</v>
      </c>
      <c r="I342" s="2373">
        <f t="shared" si="62"/>
        <v>2040</v>
      </c>
      <c r="J342" s="2373">
        <f t="shared" si="62"/>
        <v>2041</v>
      </c>
      <c r="K342" s="2373">
        <f t="shared" si="62"/>
        <v>2042</v>
      </c>
      <c r="L342" s="2373">
        <f t="shared" si="62"/>
        <v>2043</v>
      </c>
      <c r="M342" s="2373">
        <f t="shared" si="62"/>
        <v>2044</v>
      </c>
      <c r="N342" s="2373">
        <f t="shared" si="62"/>
        <v>2045</v>
      </c>
      <c r="O342" s="2373">
        <f t="shared" si="62"/>
        <v>2046</v>
      </c>
      <c r="P342" s="2373">
        <f t="shared" si="62"/>
        <v>2047</v>
      </c>
      <c r="Q342" s="2373">
        <f t="shared" si="62"/>
        <v>2048</v>
      </c>
      <c r="R342" s="2373">
        <f t="shared" si="62"/>
        <v>2049</v>
      </c>
      <c r="S342" s="2367">
        <f t="shared" si="62"/>
        <v>2050</v>
      </c>
      <c r="T342" s="1282"/>
      <c r="U342" s="666"/>
      <c r="V342" s="666"/>
      <c r="W342" s="666"/>
      <c r="X342" s="666"/>
      <c r="Y342" s="666"/>
      <c r="Z342" s="666"/>
      <c r="AA342" s="666"/>
      <c r="AB342" s="666"/>
      <c r="AC342" s="666"/>
    </row>
    <row r="343" spans="1:29" ht="15" thickBot="1" x14ac:dyDescent="0.35">
      <c r="A343" s="1286"/>
      <c r="B343" s="875" t="s">
        <v>24</v>
      </c>
      <c r="C343" s="876" t="str">
        <f>C333</f>
        <v>Scénář bez projektu</v>
      </c>
      <c r="D343" s="1257"/>
      <c r="E343" s="2380"/>
      <c r="F343" s="2374"/>
      <c r="G343" s="2374"/>
      <c r="H343" s="2374"/>
      <c r="I343" s="2374"/>
      <c r="J343" s="2374"/>
      <c r="K343" s="2374"/>
      <c r="L343" s="2374"/>
      <c r="M343" s="2374"/>
      <c r="N343" s="2374"/>
      <c r="O343" s="2374"/>
      <c r="P343" s="2374"/>
      <c r="Q343" s="2374"/>
      <c r="R343" s="2374"/>
      <c r="S343" s="2368"/>
      <c r="T343" s="1282"/>
      <c r="U343" s="666"/>
      <c r="V343" s="666"/>
      <c r="W343" s="666"/>
      <c r="X343" s="666"/>
      <c r="Y343" s="666"/>
      <c r="Z343" s="666"/>
      <c r="AA343" s="666"/>
      <c r="AB343" s="666"/>
      <c r="AC343" s="666"/>
    </row>
    <row r="344" spans="1:29" ht="14.25" x14ac:dyDescent="0.3">
      <c r="A344" s="1286"/>
      <c r="B344" s="1251"/>
      <c r="C344" s="607" t="str">
        <f>C334</f>
        <v>ŽELEZNIČNÍ osobní doprava</v>
      </c>
      <c r="D344" s="912"/>
      <c r="E344" s="691"/>
      <c r="F344" s="693"/>
      <c r="G344" s="693"/>
      <c r="H344" s="693"/>
      <c r="I344" s="693"/>
      <c r="J344" s="693"/>
      <c r="K344" s="693"/>
      <c r="L344" s="693"/>
      <c r="M344" s="693"/>
      <c r="N344" s="693"/>
      <c r="O344" s="693"/>
      <c r="P344" s="693"/>
      <c r="Q344" s="693"/>
      <c r="R344" s="693"/>
      <c r="S344" s="693"/>
      <c r="T344" s="2079"/>
      <c r="U344" s="666"/>
      <c r="V344" s="666"/>
      <c r="W344" s="666"/>
      <c r="X344" s="666"/>
      <c r="Y344" s="666"/>
      <c r="Z344" s="666"/>
      <c r="AA344" s="666"/>
      <c r="AB344" s="666"/>
      <c r="AC344" s="666"/>
    </row>
    <row r="345" spans="1:29" ht="14.25" x14ac:dyDescent="0.3">
      <c r="A345" s="1286"/>
      <c r="B345" s="1253"/>
      <c r="C345" s="607" t="str">
        <f t="shared" ref="C345:C350" si="63">C335</f>
        <v>ŽELEZNIČNÍ nákladní doprava</v>
      </c>
      <c r="D345" s="625"/>
      <c r="E345" s="693"/>
      <c r="F345" s="693"/>
      <c r="G345" s="693"/>
      <c r="H345" s="693"/>
      <c r="I345" s="693"/>
      <c r="J345" s="693"/>
      <c r="K345" s="693"/>
      <c r="L345" s="693"/>
      <c r="M345" s="693"/>
      <c r="N345" s="693"/>
      <c r="O345" s="693"/>
      <c r="P345" s="693"/>
      <c r="Q345" s="693"/>
      <c r="R345" s="693"/>
      <c r="S345" s="693"/>
      <c r="T345" s="2079"/>
      <c r="U345" s="666"/>
      <c r="V345" s="666"/>
      <c r="W345" s="666"/>
      <c r="X345" s="666"/>
      <c r="Y345" s="666"/>
      <c r="Z345" s="666"/>
      <c r="AA345" s="666"/>
      <c r="AB345" s="666"/>
      <c r="AC345" s="666"/>
    </row>
    <row r="346" spans="1:29" ht="14.25" x14ac:dyDescent="0.3">
      <c r="A346" s="1286"/>
      <c r="B346" s="1253"/>
      <c r="C346" s="1245" t="str">
        <f t="shared" si="63"/>
        <v>SILNIČNÍ osobní doprava</v>
      </c>
      <c r="D346" s="625"/>
      <c r="E346" s="693"/>
      <c r="F346" s="693"/>
      <c r="G346" s="693"/>
      <c r="H346" s="693"/>
      <c r="I346" s="693"/>
      <c r="J346" s="693"/>
      <c r="K346" s="693"/>
      <c r="L346" s="693"/>
      <c r="M346" s="693"/>
      <c r="N346" s="693"/>
      <c r="O346" s="693"/>
      <c r="P346" s="693"/>
      <c r="Q346" s="693"/>
      <c r="R346" s="693"/>
      <c r="S346" s="693"/>
      <c r="T346" s="2079"/>
      <c r="U346" s="666"/>
      <c r="V346" s="666"/>
      <c r="W346" s="666"/>
      <c r="X346" s="666"/>
      <c r="Y346" s="666"/>
      <c r="Z346" s="666"/>
      <c r="AA346" s="666"/>
      <c r="AB346" s="666"/>
      <c r="AC346" s="666"/>
    </row>
    <row r="347" spans="1:29" ht="14.25" x14ac:dyDescent="0.3">
      <c r="A347" s="1286"/>
      <c r="B347" s="1253"/>
      <c r="C347" s="1245" t="str">
        <f t="shared" si="63"/>
        <v>SILNIČNÍ nákladní doprava</v>
      </c>
      <c r="D347" s="625"/>
      <c r="E347" s="693"/>
      <c r="F347" s="693"/>
      <c r="G347" s="693"/>
      <c r="H347" s="693"/>
      <c r="I347" s="693"/>
      <c r="J347" s="693"/>
      <c r="K347" s="693"/>
      <c r="L347" s="693"/>
      <c r="M347" s="693"/>
      <c r="N347" s="693"/>
      <c r="O347" s="693"/>
      <c r="P347" s="693"/>
      <c r="Q347" s="693"/>
      <c r="R347" s="693"/>
      <c r="S347" s="693"/>
      <c r="T347" s="2079"/>
      <c r="U347" s="666"/>
      <c r="V347" s="666"/>
      <c r="W347" s="666"/>
      <c r="X347" s="666"/>
      <c r="Y347" s="666"/>
      <c r="Z347" s="666"/>
      <c r="AA347" s="666"/>
      <c r="AB347" s="666"/>
      <c r="AC347" s="666"/>
    </row>
    <row r="348" spans="1:29" ht="14.25" x14ac:dyDescent="0.3">
      <c r="A348" s="1286"/>
      <c r="B348" s="1253"/>
      <c r="C348" s="1245" t="str">
        <f t="shared" si="63"/>
        <v>VODNÍ nákladní doprava</v>
      </c>
      <c r="D348" s="625"/>
      <c r="E348" s="693"/>
      <c r="F348" s="693"/>
      <c r="G348" s="693"/>
      <c r="H348" s="693"/>
      <c r="I348" s="693"/>
      <c r="J348" s="693"/>
      <c r="K348" s="693"/>
      <c r="L348" s="693"/>
      <c r="M348" s="693"/>
      <c r="N348" s="693"/>
      <c r="O348" s="693"/>
      <c r="P348" s="693"/>
      <c r="Q348" s="693"/>
      <c r="R348" s="693"/>
      <c r="S348" s="693"/>
      <c r="T348" s="2079"/>
      <c r="U348" s="666"/>
      <c r="V348" s="666"/>
      <c r="W348" s="666"/>
      <c r="X348" s="666"/>
      <c r="Y348" s="666"/>
      <c r="Z348" s="666"/>
      <c r="AA348" s="666"/>
      <c r="AB348" s="666"/>
      <c r="AC348" s="666"/>
    </row>
    <row r="349" spans="1:29" ht="14.25" x14ac:dyDescent="0.3">
      <c r="A349" s="1286"/>
      <c r="B349" s="1253"/>
      <c r="C349" s="1245" t="str">
        <f t="shared" si="63"/>
        <v>OSTATNÍ osobní doprava</v>
      </c>
      <c r="D349" s="625"/>
      <c r="E349" s="693"/>
      <c r="F349" s="693"/>
      <c r="G349" s="693"/>
      <c r="H349" s="693"/>
      <c r="I349" s="693"/>
      <c r="J349" s="693"/>
      <c r="K349" s="693"/>
      <c r="L349" s="693"/>
      <c r="M349" s="693"/>
      <c r="N349" s="693"/>
      <c r="O349" s="693"/>
      <c r="P349" s="693"/>
      <c r="Q349" s="693"/>
      <c r="R349" s="693"/>
      <c r="S349" s="693"/>
      <c r="T349" s="2079"/>
      <c r="U349" s="666"/>
      <c r="V349" s="666"/>
      <c r="W349" s="666"/>
      <c r="X349" s="666"/>
      <c r="Y349" s="666"/>
      <c r="Z349" s="666"/>
      <c r="AA349" s="666"/>
      <c r="AB349" s="666"/>
      <c r="AC349" s="666"/>
    </row>
    <row r="350" spans="1:29" ht="15" thickBot="1" x14ac:dyDescent="0.35">
      <c r="A350" s="1286"/>
      <c r="B350" s="1259"/>
      <c r="C350" s="1248" t="str">
        <f t="shared" si="63"/>
        <v>OSTATNÍ nákladní doprava</v>
      </c>
      <c r="D350" s="1249"/>
      <c r="E350" s="693"/>
      <c r="F350" s="693"/>
      <c r="G350" s="693"/>
      <c r="H350" s="693"/>
      <c r="I350" s="693"/>
      <c r="J350" s="693"/>
      <c r="K350" s="693"/>
      <c r="L350" s="693"/>
      <c r="M350" s="693"/>
      <c r="N350" s="693"/>
      <c r="O350" s="693"/>
      <c r="P350" s="693"/>
      <c r="Q350" s="693"/>
      <c r="R350" s="693"/>
      <c r="S350" s="693"/>
      <c r="T350" s="2079"/>
      <c r="U350" s="666"/>
      <c r="V350" s="666"/>
      <c r="W350" s="666"/>
      <c r="X350" s="666"/>
      <c r="Y350" s="666"/>
      <c r="Z350" s="666"/>
      <c r="AA350" s="666"/>
      <c r="AB350" s="666"/>
      <c r="AC350" s="666"/>
    </row>
    <row r="351" spans="1:29" ht="14.25" thickBot="1" x14ac:dyDescent="0.35">
      <c r="A351" s="1286"/>
      <c r="B351" s="1287"/>
      <c r="C351" s="1288"/>
      <c r="D351" s="1285"/>
      <c r="E351" s="2069"/>
      <c r="F351" s="2069"/>
      <c r="G351" s="2069"/>
      <c r="H351" s="2069"/>
      <c r="I351" s="2069"/>
      <c r="J351" s="2069"/>
      <c r="K351" s="2069"/>
      <c r="L351" s="2069"/>
      <c r="M351" s="2069"/>
      <c r="N351" s="2069"/>
      <c r="O351" s="2069"/>
      <c r="P351" s="2069"/>
      <c r="Q351" s="2069"/>
      <c r="R351" s="2069"/>
      <c r="S351" s="2069"/>
      <c r="T351" s="1282"/>
      <c r="U351" s="666"/>
      <c r="V351" s="666"/>
      <c r="W351" s="666"/>
      <c r="X351" s="666"/>
      <c r="Y351" s="666"/>
      <c r="Z351" s="666"/>
      <c r="AA351" s="666"/>
      <c r="AB351" s="666"/>
      <c r="AC351" s="666"/>
    </row>
    <row r="352" spans="1:29" ht="14.25" thickBot="1" x14ac:dyDescent="0.35">
      <c r="A352" s="1292"/>
      <c r="B352" s="1293"/>
      <c r="C352" s="1294"/>
      <c r="D352" s="1295"/>
      <c r="E352" s="1296"/>
      <c r="F352" s="1296"/>
      <c r="G352" s="1296"/>
      <c r="H352" s="1296"/>
      <c r="I352" s="1296"/>
      <c r="J352" s="1296"/>
      <c r="K352" s="1296"/>
      <c r="L352" s="1296"/>
      <c r="M352" s="1296"/>
      <c r="N352" s="1296"/>
      <c r="O352" s="1296"/>
      <c r="P352" s="1296"/>
      <c r="Q352" s="1296"/>
      <c r="R352" s="1296"/>
      <c r="S352" s="1296"/>
      <c r="T352" s="1290"/>
      <c r="U352" s="666"/>
      <c r="V352" s="666"/>
      <c r="W352" s="666"/>
      <c r="X352" s="666"/>
      <c r="Y352" s="666"/>
      <c r="Z352" s="666"/>
      <c r="AA352" s="666"/>
      <c r="AB352" s="666"/>
      <c r="AC352" s="666"/>
    </row>
    <row r="353" spans="1:29" ht="14.25" x14ac:dyDescent="0.3">
      <c r="A353" s="1297"/>
      <c r="B353" s="1156" t="s">
        <v>153</v>
      </c>
      <c r="C353" s="897" t="str">
        <f>IF('0 Úvod'!$M$10="English",Slovnik!$D$379,Slovnik!$C$379)</f>
        <v>Emise škodlivin - t NOx / rok</v>
      </c>
      <c r="D353" s="898"/>
      <c r="E353" s="2363">
        <f>E311</f>
        <v>2021</v>
      </c>
      <c r="F353" s="2361">
        <f t="shared" ref="F353:S353" si="64">E353+1</f>
        <v>2022</v>
      </c>
      <c r="G353" s="2361">
        <f t="shared" si="64"/>
        <v>2023</v>
      </c>
      <c r="H353" s="2361">
        <f t="shared" si="64"/>
        <v>2024</v>
      </c>
      <c r="I353" s="2361">
        <f t="shared" si="64"/>
        <v>2025</v>
      </c>
      <c r="J353" s="2361">
        <f t="shared" si="64"/>
        <v>2026</v>
      </c>
      <c r="K353" s="2361">
        <f t="shared" si="64"/>
        <v>2027</v>
      </c>
      <c r="L353" s="2361">
        <f t="shared" si="64"/>
        <v>2028</v>
      </c>
      <c r="M353" s="2361">
        <f t="shared" si="64"/>
        <v>2029</v>
      </c>
      <c r="N353" s="2361">
        <f t="shared" si="64"/>
        <v>2030</v>
      </c>
      <c r="O353" s="2361">
        <f t="shared" si="64"/>
        <v>2031</v>
      </c>
      <c r="P353" s="2361">
        <f t="shared" si="64"/>
        <v>2032</v>
      </c>
      <c r="Q353" s="2361">
        <f t="shared" si="64"/>
        <v>2033</v>
      </c>
      <c r="R353" s="2361">
        <f t="shared" si="64"/>
        <v>2034</v>
      </c>
      <c r="S353" s="2365">
        <f t="shared" si="64"/>
        <v>2035</v>
      </c>
      <c r="T353" s="1291"/>
      <c r="U353" s="666"/>
      <c r="V353" s="666"/>
      <c r="W353" s="666"/>
      <c r="X353" s="666"/>
      <c r="Y353" s="666"/>
      <c r="Z353" s="666"/>
      <c r="AA353" s="666"/>
      <c r="AB353" s="666"/>
      <c r="AC353" s="666"/>
    </row>
    <row r="354" spans="1:29" ht="15" thickBot="1" x14ac:dyDescent="0.35">
      <c r="A354" s="1297"/>
      <c r="B354" s="694" t="s">
        <v>23</v>
      </c>
      <c r="C354" s="840" t="str">
        <f>C312</f>
        <v>Scénář s projektem</v>
      </c>
      <c r="D354" s="696" t="str">
        <f>D333</f>
        <v>Celkem</v>
      </c>
      <c r="E354" s="2364"/>
      <c r="F354" s="2362"/>
      <c r="G354" s="2362"/>
      <c r="H354" s="2362"/>
      <c r="I354" s="2362"/>
      <c r="J354" s="2362"/>
      <c r="K354" s="2362"/>
      <c r="L354" s="2362"/>
      <c r="M354" s="2362"/>
      <c r="N354" s="2362"/>
      <c r="O354" s="2362"/>
      <c r="P354" s="2362"/>
      <c r="Q354" s="2362"/>
      <c r="R354" s="2362"/>
      <c r="S354" s="2366"/>
      <c r="T354" s="1291"/>
      <c r="U354" s="666"/>
      <c r="V354" s="666"/>
      <c r="W354" s="666"/>
      <c r="X354" s="666"/>
      <c r="Y354" s="666"/>
      <c r="Z354" s="666"/>
      <c r="AA354" s="666"/>
      <c r="AB354" s="666"/>
      <c r="AC354" s="666"/>
    </row>
    <row r="355" spans="1:29" ht="14.25" x14ac:dyDescent="0.3">
      <c r="A355" s="1297"/>
      <c r="B355" s="1251"/>
      <c r="C355" s="607" t="str">
        <f>C344</f>
        <v>ŽELEZNIČNÍ osobní doprava</v>
      </c>
      <c r="D355" s="605">
        <f>SUM(E355:S355,E365:S365)</f>
        <v>0</v>
      </c>
      <c r="E355" s="691"/>
      <c r="F355" s="691"/>
      <c r="G355" s="691"/>
      <c r="H355" s="691"/>
      <c r="I355" s="691"/>
      <c r="J355" s="691"/>
      <c r="K355" s="691"/>
      <c r="L355" s="691"/>
      <c r="M355" s="691"/>
      <c r="N355" s="691"/>
      <c r="O355" s="691"/>
      <c r="P355" s="691"/>
      <c r="Q355" s="691"/>
      <c r="R355" s="691"/>
      <c r="S355" s="691"/>
      <c r="T355" s="2080"/>
      <c r="U355" s="666"/>
      <c r="V355" s="666"/>
      <c r="W355" s="666"/>
      <c r="X355" s="666"/>
      <c r="Y355" s="666"/>
      <c r="Z355" s="666"/>
      <c r="AA355" s="666"/>
      <c r="AB355" s="666"/>
      <c r="AC355" s="666"/>
    </row>
    <row r="356" spans="1:29" ht="14.25" x14ac:dyDescent="0.3">
      <c r="A356" s="1297"/>
      <c r="B356" s="1252"/>
      <c r="C356" s="607" t="str">
        <f t="shared" ref="C356:C361" si="65">C345</f>
        <v>ŽELEZNIČNÍ nákladní doprava</v>
      </c>
      <c r="D356" s="608">
        <f t="shared" ref="D356:D361" si="66">SUM(E356:S356,E366:S366)</f>
        <v>0</v>
      </c>
      <c r="E356" s="691"/>
      <c r="F356" s="691"/>
      <c r="G356" s="691"/>
      <c r="H356" s="691"/>
      <c r="I356" s="691"/>
      <c r="J356" s="691"/>
      <c r="K356" s="691"/>
      <c r="L356" s="691"/>
      <c r="M356" s="691"/>
      <c r="N356" s="691"/>
      <c r="O356" s="691"/>
      <c r="P356" s="691"/>
      <c r="Q356" s="691"/>
      <c r="R356" s="691"/>
      <c r="S356" s="691"/>
      <c r="T356" s="2080"/>
      <c r="U356" s="666"/>
      <c r="V356" s="666"/>
      <c r="W356" s="666"/>
      <c r="X356" s="666"/>
      <c r="Y356" s="666"/>
      <c r="Z356" s="666"/>
      <c r="AA356" s="666"/>
      <c r="AB356" s="666"/>
      <c r="AC356" s="666"/>
    </row>
    <row r="357" spans="1:29" ht="14.25" x14ac:dyDescent="0.3">
      <c r="A357" s="1297"/>
      <c r="B357" s="1252"/>
      <c r="C357" s="1245" t="str">
        <f t="shared" si="65"/>
        <v>SILNIČNÍ osobní doprava</v>
      </c>
      <c r="D357" s="608">
        <f t="shared" si="66"/>
        <v>0</v>
      </c>
      <c r="E357" s="691"/>
      <c r="F357" s="691"/>
      <c r="G357" s="691"/>
      <c r="H357" s="691"/>
      <c r="I357" s="691"/>
      <c r="J357" s="691"/>
      <c r="K357" s="691"/>
      <c r="L357" s="691"/>
      <c r="M357" s="691"/>
      <c r="N357" s="691"/>
      <c r="O357" s="691"/>
      <c r="P357" s="691"/>
      <c r="Q357" s="691"/>
      <c r="R357" s="691"/>
      <c r="S357" s="691"/>
      <c r="T357" s="2080"/>
      <c r="U357" s="666"/>
      <c r="V357" s="666"/>
      <c r="W357" s="666"/>
      <c r="X357" s="666"/>
      <c r="Y357" s="666"/>
      <c r="Z357" s="666"/>
      <c r="AA357" s="666"/>
      <c r="AB357" s="666"/>
      <c r="AC357" s="666"/>
    </row>
    <row r="358" spans="1:29" ht="14.25" x14ac:dyDescent="0.3">
      <c r="A358" s="1297"/>
      <c r="B358" s="1252"/>
      <c r="C358" s="1245" t="str">
        <f t="shared" si="65"/>
        <v>SILNIČNÍ nákladní doprava</v>
      </c>
      <c r="D358" s="608">
        <f t="shared" si="66"/>
        <v>0</v>
      </c>
      <c r="E358" s="691"/>
      <c r="F358" s="691"/>
      <c r="G358" s="691"/>
      <c r="H358" s="691"/>
      <c r="I358" s="691"/>
      <c r="J358" s="691"/>
      <c r="K358" s="691"/>
      <c r="L358" s="691"/>
      <c r="M358" s="691"/>
      <c r="N358" s="691"/>
      <c r="O358" s="691"/>
      <c r="P358" s="691"/>
      <c r="Q358" s="691"/>
      <c r="R358" s="691"/>
      <c r="S358" s="691"/>
      <c r="T358" s="2080"/>
      <c r="U358" s="666"/>
      <c r="V358" s="666"/>
      <c r="W358" s="666"/>
      <c r="X358" s="666"/>
      <c r="Y358" s="666"/>
      <c r="Z358" s="666"/>
      <c r="AA358" s="666"/>
      <c r="AB358" s="666"/>
      <c r="AC358" s="666"/>
    </row>
    <row r="359" spans="1:29" ht="14.25" x14ac:dyDescent="0.3">
      <c r="A359" s="1297"/>
      <c r="B359" s="1252"/>
      <c r="C359" s="1245" t="str">
        <f t="shared" si="65"/>
        <v>VODNÍ nákladní doprava</v>
      </c>
      <c r="D359" s="608">
        <f t="shared" si="66"/>
        <v>0</v>
      </c>
      <c r="E359" s="691"/>
      <c r="F359" s="691"/>
      <c r="G359" s="691"/>
      <c r="H359" s="691"/>
      <c r="I359" s="691"/>
      <c r="J359" s="691"/>
      <c r="K359" s="691"/>
      <c r="L359" s="691"/>
      <c r="M359" s="691"/>
      <c r="N359" s="691"/>
      <c r="O359" s="691"/>
      <c r="P359" s="691"/>
      <c r="Q359" s="691"/>
      <c r="R359" s="691"/>
      <c r="S359" s="691"/>
      <c r="T359" s="2080"/>
      <c r="U359" s="666"/>
      <c r="V359" s="666"/>
      <c r="W359" s="666"/>
      <c r="X359" s="666"/>
      <c r="Y359" s="666"/>
      <c r="Z359" s="666"/>
      <c r="AA359" s="666"/>
      <c r="AB359" s="666"/>
      <c r="AC359" s="666"/>
    </row>
    <row r="360" spans="1:29" ht="14.25" x14ac:dyDescent="0.3">
      <c r="A360" s="1297"/>
      <c r="B360" s="1252"/>
      <c r="C360" s="1245" t="str">
        <f t="shared" si="65"/>
        <v>OSTATNÍ osobní doprava</v>
      </c>
      <c r="D360" s="608">
        <f t="shared" si="66"/>
        <v>0</v>
      </c>
      <c r="E360" s="691"/>
      <c r="F360" s="691"/>
      <c r="G360" s="691"/>
      <c r="H360" s="691"/>
      <c r="I360" s="691"/>
      <c r="J360" s="691"/>
      <c r="K360" s="691"/>
      <c r="L360" s="691"/>
      <c r="M360" s="691"/>
      <c r="N360" s="691"/>
      <c r="O360" s="691"/>
      <c r="P360" s="691"/>
      <c r="Q360" s="691"/>
      <c r="R360" s="691"/>
      <c r="S360" s="691"/>
      <c r="T360" s="2080"/>
      <c r="U360" s="666"/>
      <c r="V360" s="666"/>
      <c r="W360" s="666"/>
      <c r="X360" s="666"/>
      <c r="Y360" s="666"/>
      <c r="Z360" s="666"/>
      <c r="AA360" s="666"/>
      <c r="AB360" s="666"/>
      <c r="AC360" s="666"/>
    </row>
    <row r="361" spans="1:29" ht="15" thickBot="1" x14ac:dyDescent="0.35">
      <c r="A361" s="1297"/>
      <c r="B361" s="1258"/>
      <c r="C361" s="1248" t="str">
        <f t="shared" si="65"/>
        <v>OSTATNÍ nákladní doprava</v>
      </c>
      <c r="D361" s="1250">
        <f t="shared" si="66"/>
        <v>0</v>
      </c>
      <c r="E361" s="691"/>
      <c r="F361" s="691"/>
      <c r="G361" s="691"/>
      <c r="H361" s="691"/>
      <c r="I361" s="691"/>
      <c r="J361" s="691"/>
      <c r="K361" s="691"/>
      <c r="L361" s="691"/>
      <c r="M361" s="691"/>
      <c r="N361" s="691"/>
      <c r="O361" s="691"/>
      <c r="P361" s="691"/>
      <c r="Q361" s="691"/>
      <c r="R361" s="691"/>
      <c r="S361" s="691"/>
      <c r="T361" s="2080"/>
      <c r="U361" s="666"/>
      <c r="V361" s="666"/>
      <c r="W361" s="666"/>
      <c r="X361" s="666"/>
      <c r="Y361" s="666"/>
      <c r="Z361" s="666"/>
      <c r="AA361" s="666"/>
      <c r="AB361" s="666"/>
      <c r="AC361" s="666"/>
    </row>
    <row r="362" spans="1:29" ht="14.25" thickBot="1" x14ac:dyDescent="0.35">
      <c r="A362" s="1297"/>
      <c r="B362" s="1298"/>
      <c r="C362" s="1299"/>
      <c r="D362" s="1300"/>
      <c r="E362" s="2070"/>
      <c r="F362" s="2070"/>
      <c r="G362" s="2070"/>
      <c r="H362" s="2070"/>
      <c r="I362" s="2070"/>
      <c r="J362" s="2070"/>
      <c r="K362" s="2070"/>
      <c r="L362" s="2070"/>
      <c r="M362" s="2070"/>
      <c r="N362" s="2070"/>
      <c r="O362" s="2070"/>
      <c r="P362" s="2070"/>
      <c r="Q362" s="2070"/>
      <c r="R362" s="2070"/>
      <c r="S362" s="2070"/>
      <c r="T362" s="1291"/>
      <c r="U362" s="666"/>
      <c r="V362" s="666"/>
      <c r="W362" s="666"/>
      <c r="X362" s="666"/>
      <c r="Y362" s="666"/>
      <c r="Z362" s="666"/>
      <c r="AA362" s="666"/>
      <c r="AB362" s="666"/>
      <c r="AC362" s="666"/>
    </row>
    <row r="363" spans="1:29" ht="14.25" x14ac:dyDescent="0.3">
      <c r="A363" s="1297"/>
      <c r="B363" s="1156" t="str">
        <f>B353</f>
        <v>6.11.</v>
      </c>
      <c r="C363" s="897" t="str">
        <f>IF('0 Úvod'!$M$10="English",Slovnik!$D$380,Slovnik!$C$380)</f>
        <v>Zmírnění změny klimatu - t NOx / rok</v>
      </c>
      <c r="D363" s="899"/>
      <c r="E363" s="2363">
        <f>S353+1</f>
        <v>2036</v>
      </c>
      <c r="F363" s="2361">
        <f t="shared" ref="F363:S363" si="67">E363+1</f>
        <v>2037</v>
      </c>
      <c r="G363" s="2361">
        <f t="shared" si="67"/>
        <v>2038</v>
      </c>
      <c r="H363" s="2361">
        <f t="shared" si="67"/>
        <v>2039</v>
      </c>
      <c r="I363" s="2361">
        <f t="shared" si="67"/>
        <v>2040</v>
      </c>
      <c r="J363" s="2361">
        <f t="shared" si="67"/>
        <v>2041</v>
      </c>
      <c r="K363" s="2361">
        <f t="shared" si="67"/>
        <v>2042</v>
      </c>
      <c r="L363" s="2361">
        <f t="shared" si="67"/>
        <v>2043</v>
      </c>
      <c r="M363" s="2361">
        <f t="shared" si="67"/>
        <v>2044</v>
      </c>
      <c r="N363" s="2361">
        <f t="shared" si="67"/>
        <v>2045</v>
      </c>
      <c r="O363" s="2361">
        <f t="shared" si="67"/>
        <v>2046</v>
      </c>
      <c r="P363" s="2361">
        <f t="shared" si="67"/>
        <v>2047</v>
      </c>
      <c r="Q363" s="2361">
        <f t="shared" si="67"/>
        <v>2048</v>
      </c>
      <c r="R363" s="2361">
        <f t="shared" si="67"/>
        <v>2049</v>
      </c>
      <c r="S363" s="2365">
        <f t="shared" si="67"/>
        <v>2050</v>
      </c>
      <c r="T363" s="1291"/>
      <c r="U363" s="666"/>
      <c r="V363" s="666"/>
      <c r="W363" s="666"/>
      <c r="X363" s="666"/>
      <c r="Y363" s="666"/>
      <c r="Z363" s="666"/>
      <c r="AA363" s="666"/>
      <c r="AB363" s="666"/>
      <c r="AC363" s="666"/>
    </row>
    <row r="364" spans="1:29" ht="15" thickBot="1" x14ac:dyDescent="0.35">
      <c r="A364" s="1297"/>
      <c r="B364" s="694" t="s">
        <v>24</v>
      </c>
      <c r="C364" s="840" t="str">
        <f>C354</f>
        <v>Scénář s projektem</v>
      </c>
      <c r="D364" s="1256"/>
      <c r="E364" s="2364"/>
      <c r="F364" s="2362"/>
      <c r="G364" s="2362"/>
      <c r="H364" s="2362"/>
      <c r="I364" s="2362"/>
      <c r="J364" s="2362"/>
      <c r="K364" s="2362"/>
      <c r="L364" s="2362"/>
      <c r="M364" s="2362"/>
      <c r="N364" s="2362"/>
      <c r="O364" s="2362"/>
      <c r="P364" s="2362"/>
      <c r="Q364" s="2362"/>
      <c r="R364" s="2362"/>
      <c r="S364" s="2366"/>
      <c r="T364" s="1291"/>
      <c r="U364" s="666"/>
      <c r="V364" s="666"/>
      <c r="W364" s="666"/>
      <c r="X364" s="666"/>
      <c r="Y364" s="666"/>
      <c r="Z364" s="666"/>
      <c r="AA364" s="666"/>
      <c r="AB364" s="666"/>
      <c r="AC364" s="666"/>
    </row>
    <row r="365" spans="1:29" ht="14.25" x14ac:dyDescent="0.3">
      <c r="A365" s="1297"/>
      <c r="B365" s="1251"/>
      <c r="C365" s="607" t="str">
        <f>C355</f>
        <v>ŽELEZNIČNÍ osobní doprava</v>
      </c>
      <c r="D365" s="912"/>
      <c r="E365" s="691"/>
      <c r="F365" s="693"/>
      <c r="G365" s="693"/>
      <c r="H365" s="693"/>
      <c r="I365" s="693"/>
      <c r="J365" s="693"/>
      <c r="K365" s="693"/>
      <c r="L365" s="693"/>
      <c r="M365" s="693"/>
      <c r="N365" s="693"/>
      <c r="O365" s="693"/>
      <c r="P365" s="693"/>
      <c r="Q365" s="693"/>
      <c r="R365" s="693"/>
      <c r="S365" s="693"/>
      <c r="T365" s="2080"/>
      <c r="U365" s="666"/>
      <c r="V365" s="666"/>
      <c r="W365" s="666"/>
      <c r="X365" s="666"/>
      <c r="Y365" s="666"/>
      <c r="Z365" s="666"/>
      <c r="AA365" s="666"/>
      <c r="AB365" s="666"/>
      <c r="AC365" s="666"/>
    </row>
    <row r="366" spans="1:29" ht="14.25" x14ac:dyDescent="0.3">
      <c r="A366" s="1297"/>
      <c r="B366" s="1253"/>
      <c r="C366" s="607" t="str">
        <f t="shared" ref="C366:C371" si="68">C356</f>
        <v>ŽELEZNIČNÍ nákladní doprava</v>
      </c>
      <c r="D366" s="625"/>
      <c r="E366" s="693"/>
      <c r="F366" s="693"/>
      <c r="G366" s="693"/>
      <c r="H366" s="693"/>
      <c r="I366" s="693"/>
      <c r="J366" s="693"/>
      <c r="K366" s="693"/>
      <c r="L366" s="693"/>
      <c r="M366" s="693"/>
      <c r="N366" s="693"/>
      <c r="O366" s="693"/>
      <c r="P366" s="693"/>
      <c r="Q366" s="693"/>
      <c r="R366" s="693"/>
      <c r="S366" s="693"/>
      <c r="T366" s="2080"/>
      <c r="U366" s="666"/>
      <c r="V366" s="666"/>
      <c r="W366" s="666"/>
      <c r="X366" s="666"/>
      <c r="Y366" s="666"/>
      <c r="Z366" s="666"/>
      <c r="AA366" s="666"/>
      <c r="AB366" s="666"/>
      <c r="AC366" s="666"/>
    </row>
    <row r="367" spans="1:29" ht="14.25" x14ac:dyDescent="0.3">
      <c r="A367" s="1297"/>
      <c r="B367" s="1253"/>
      <c r="C367" s="1245" t="str">
        <f t="shared" si="68"/>
        <v>SILNIČNÍ osobní doprava</v>
      </c>
      <c r="D367" s="625"/>
      <c r="E367" s="693"/>
      <c r="F367" s="693"/>
      <c r="G367" s="693"/>
      <c r="H367" s="693"/>
      <c r="I367" s="693"/>
      <c r="J367" s="693"/>
      <c r="K367" s="693"/>
      <c r="L367" s="693"/>
      <c r="M367" s="693"/>
      <c r="N367" s="693"/>
      <c r="O367" s="693"/>
      <c r="P367" s="693"/>
      <c r="Q367" s="693"/>
      <c r="R367" s="693"/>
      <c r="S367" s="693"/>
      <c r="T367" s="2080"/>
      <c r="U367" s="666"/>
      <c r="V367" s="666"/>
      <c r="W367" s="666"/>
      <c r="X367" s="666"/>
      <c r="Y367" s="666"/>
      <c r="Z367" s="666"/>
      <c r="AA367" s="666"/>
      <c r="AB367" s="666"/>
      <c r="AC367" s="666"/>
    </row>
    <row r="368" spans="1:29" ht="14.25" x14ac:dyDescent="0.3">
      <c r="A368" s="1297"/>
      <c r="B368" s="1253"/>
      <c r="C368" s="1245" t="str">
        <f t="shared" si="68"/>
        <v>SILNIČNÍ nákladní doprava</v>
      </c>
      <c r="D368" s="625"/>
      <c r="E368" s="693"/>
      <c r="F368" s="693"/>
      <c r="G368" s="693"/>
      <c r="H368" s="693"/>
      <c r="I368" s="693"/>
      <c r="J368" s="693"/>
      <c r="K368" s="693"/>
      <c r="L368" s="693"/>
      <c r="M368" s="693"/>
      <c r="N368" s="693"/>
      <c r="O368" s="693"/>
      <c r="P368" s="693"/>
      <c r="Q368" s="693"/>
      <c r="R368" s="693"/>
      <c r="S368" s="693"/>
      <c r="T368" s="2080"/>
      <c r="U368" s="666"/>
      <c r="V368" s="666"/>
      <c r="W368" s="666"/>
      <c r="X368" s="666"/>
      <c r="Y368" s="666"/>
      <c r="Z368" s="666"/>
      <c r="AA368" s="666"/>
      <c r="AB368" s="666"/>
      <c r="AC368" s="666"/>
    </row>
    <row r="369" spans="1:29" ht="14.25" x14ac:dyDescent="0.3">
      <c r="A369" s="1297"/>
      <c r="B369" s="1253"/>
      <c r="C369" s="1245" t="str">
        <f t="shared" si="68"/>
        <v>VODNÍ nákladní doprava</v>
      </c>
      <c r="D369" s="625"/>
      <c r="E369" s="693"/>
      <c r="F369" s="693"/>
      <c r="G369" s="693"/>
      <c r="H369" s="693"/>
      <c r="I369" s="693"/>
      <c r="J369" s="693"/>
      <c r="K369" s="693"/>
      <c r="L369" s="693"/>
      <c r="M369" s="693"/>
      <c r="N369" s="693"/>
      <c r="O369" s="693"/>
      <c r="P369" s="693"/>
      <c r="Q369" s="693"/>
      <c r="R369" s="693"/>
      <c r="S369" s="693"/>
      <c r="T369" s="2080"/>
      <c r="U369" s="666"/>
      <c r="V369" s="666"/>
      <c r="W369" s="666"/>
      <c r="X369" s="666"/>
      <c r="Y369" s="666"/>
      <c r="Z369" s="666"/>
      <c r="AA369" s="666"/>
      <c r="AB369" s="666"/>
      <c r="AC369" s="666"/>
    </row>
    <row r="370" spans="1:29" ht="14.25" x14ac:dyDescent="0.3">
      <c r="A370" s="1297"/>
      <c r="B370" s="1253"/>
      <c r="C370" s="1245" t="str">
        <f t="shared" si="68"/>
        <v>OSTATNÍ osobní doprava</v>
      </c>
      <c r="D370" s="625"/>
      <c r="E370" s="693"/>
      <c r="F370" s="693"/>
      <c r="G370" s="693"/>
      <c r="H370" s="693"/>
      <c r="I370" s="693"/>
      <c r="J370" s="693"/>
      <c r="K370" s="693"/>
      <c r="L370" s="693"/>
      <c r="M370" s="693"/>
      <c r="N370" s="693"/>
      <c r="O370" s="693"/>
      <c r="P370" s="693"/>
      <c r="Q370" s="693"/>
      <c r="R370" s="693"/>
      <c r="S370" s="693"/>
      <c r="T370" s="2080"/>
      <c r="U370" s="666"/>
      <c r="V370" s="666"/>
      <c r="W370" s="666"/>
      <c r="X370" s="666"/>
      <c r="Y370" s="666"/>
      <c r="Z370" s="666"/>
      <c r="AA370" s="666"/>
      <c r="AB370" s="666"/>
      <c r="AC370" s="666"/>
    </row>
    <row r="371" spans="1:29" ht="15" thickBot="1" x14ac:dyDescent="0.35">
      <c r="A371" s="1297"/>
      <c r="B371" s="1259"/>
      <c r="C371" s="1248" t="str">
        <f t="shared" si="68"/>
        <v>OSTATNÍ nákladní doprava</v>
      </c>
      <c r="D371" s="1249"/>
      <c r="E371" s="693"/>
      <c r="F371" s="693"/>
      <c r="G371" s="693"/>
      <c r="H371" s="693"/>
      <c r="I371" s="693"/>
      <c r="J371" s="693"/>
      <c r="K371" s="693"/>
      <c r="L371" s="693"/>
      <c r="M371" s="693"/>
      <c r="N371" s="693"/>
      <c r="O371" s="693"/>
      <c r="P371" s="693"/>
      <c r="Q371" s="693"/>
      <c r="R371" s="693"/>
      <c r="S371" s="693"/>
      <c r="T371" s="2080"/>
      <c r="U371" s="666"/>
      <c r="V371" s="666"/>
      <c r="W371" s="666"/>
      <c r="X371" s="666"/>
      <c r="Y371" s="666"/>
      <c r="Z371" s="666"/>
      <c r="AA371" s="666"/>
      <c r="AB371" s="666"/>
      <c r="AC371" s="666"/>
    </row>
    <row r="372" spans="1:29" x14ac:dyDescent="0.3">
      <c r="A372" s="1297"/>
      <c r="B372" s="1301"/>
      <c r="C372" s="1302"/>
      <c r="D372" s="1300"/>
      <c r="E372" s="2071"/>
      <c r="F372" s="2071"/>
      <c r="G372" s="2071"/>
      <c r="H372" s="2071"/>
      <c r="I372" s="2071"/>
      <c r="J372" s="2071"/>
      <c r="K372" s="2071"/>
      <c r="L372" s="2071"/>
      <c r="M372" s="2071"/>
      <c r="N372" s="2071"/>
      <c r="O372" s="2071"/>
      <c r="P372" s="2071"/>
      <c r="Q372" s="2071"/>
      <c r="R372" s="2071"/>
      <c r="S372" s="2071"/>
      <c r="T372" s="1291"/>
      <c r="U372" s="666"/>
      <c r="V372" s="666"/>
      <c r="W372" s="666"/>
      <c r="X372" s="666"/>
      <c r="Y372" s="666"/>
      <c r="Z372" s="666"/>
      <c r="AA372" s="666"/>
      <c r="AB372" s="666"/>
      <c r="AC372" s="666"/>
    </row>
    <row r="373" spans="1:29" ht="14.25" thickBot="1" x14ac:dyDescent="0.35">
      <c r="A373" s="1297"/>
      <c r="B373" s="1301"/>
      <c r="C373" s="1302"/>
      <c r="D373" s="1300"/>
      <c r="E373" s="1303"/>
      <c r="F373" s="1303"/>
      <c r="G373" s="1303"/>
      <c r="H373" s="1303"/>
      <c r="I373" s="1303"/>
      <c r="J373" s="1303"/>
      <c r="K373" s="1303"/>
      <c r="L373" s="1303"/>
      <c r="M373" s="1303"/>
      <c r="N373" s="1303"/>
      <c r="O373" s="1303"/>
      <c r="P373" s="1303"/>
      <c r="Q373" s="1303"/>
      <c r="R373" s="1303"/>
      <c r="S373" s="1303"/>
      <c r="T373" s="1291"/>
      <c r="U373" s="666"/>
      <c r="V373" s="666"/>
      <c r="W373" s="666"/>
      <c r="X373" s="666"/>
      <c r="Y373" s="666"/>
      <c r="Z373" s="666"/>
      <c r="AA373" s="666"/>
      <c r="AB373" s="666"/>
      <c r="AC373" s="666"/>
    </row>
    <row r="374" spans="1:29" ht="14.25" x14ac:dyDescent="0.3">
      <c r="A374" s="1297"/>
      <c r="B374" s="1368" t="s">
        <v>154</v>
      </c>
      <c r="C374" s="1254" t="str">
        <f>C353</f>
        <v>Emise škodlivin - t NOx / rok</v>
      </c>
      <c r="D374" s="947"/>
      <c r="E374" s="2379">
        <f>E353</f>
        <v>2021</v>
      </c>
      <c r="F374" s="2373">
        <f t="shared" ref="F374:S374" si="69">E374+1</f>
        <v>2022</v>
      </c>
      <c r="G374" s="2373">
        <f t="shared" si="69"/>
        <v>2023</v>
      </c>
      <c r="H374" s="2373">
        <f t="shared" si="69"/>
        <v>2024</v>
      </c>
      <c r="I374" s="2373">
        <f t="shared" si="69"/>
        <v>2025</v>
      </c>
      <c r="J374" s="2373">
        <f t="shared" si="69"/>
        <v>2026</v>
      </c>
      <c r="K374" s="2373">
        <f t="shared" si="69"/>
        <v>2027</v>
      </c>
      <c r="L374" s="2373">
        <f t="shared" si="69"/>
        <v>2028</v>
      </c>
      <c r="M374" s="2373">
        <f t="shared" si="69"/>
        <v>2029</v>
      </c>
      <c r="N374" s="2373">
        <f t="shared" si="69"/>
        <v>2030</v>
      </c>
      <c r="O374" s="2373">
        <f t="shared" si="69"/>
        <v>2031</v>
      </c>
      <c r="P374" s="2373">
        <f t="shared" si="69"/>
        <v>2032</v>
      </c>
      <c r="Q374" s="2373">
        <f t="shared" si="69"/>
        <v>2033</v>
      </c>
      <c r="R374" s="2373">
        <f t="shared" si="69"/>
        <v>2034</v>
      </c>
      <c r="S374" s="2367">
        <f t="shared" si="69"/>
        <v>2035</v>
      </c>
      <c r="T374" s="1291"/>
      <c r="U374" s="666"/>
      <c r="V374" s="666"/>
      <c r="W374" s="666"/>
      <c r="X374" s="666"/>
      <c r="Y374" s="666"/>
      <c r="Z374" s="666"/>
      <c r="AA374" s="666"/>
      <c r="AB374" s="666"/>
      <c r="AC374" s="666"/>
    </row>
    <row r="375" spans="1:29" ht="15" thickBot="1" x14ac:dyDescent="0.35">
      <c r="A375" s="1297"/>
      <c r="B375" s="875" t="s">
        <v>23</v>
      </c>
      <c r="C375" s="876" t="str">
        <f>C333</f>
        <v>Scénář bez projektu</v>
      </c>
      <c r="D375" s="635" t="str">
        <f>D354</f>
        <v>Celkem</v>
      </c>
      <c r="E375" s="2380"/>
      <c r="F375" s="2374"/>
      <c r="G375" s="2374"/>
      <c r="H375" s="2374"/>
      <c r="I375" s="2374"/>
      <c r="J375" s="2374"/>
      <c r="K375" s="2374"/>
      <c r="L375" s="2374"/>
      <c r="M375" s="2374"/>
      <c r="N375" s="2374"/>
      <c r="O375" s="2374"/>
      <c r="P375" s="2374"/>
      <c r="Q375" s="2374"/>
      <c r="R375" s="2374"/>
      <c r="S375" s="2368"/>
      <c r="T375" s="1291"/>
      <c r="U375" s="666"/>
      <c r="V375" s="666"/>
      <c r="W375" s="666"/>
      <c r="X375" s="666"/>
      <c r="Y375" s="666"/>
      <c r="Z375" s="666"/>
      <c r="AA375" s="666"/>
      <c r="AB375" s="666"/>
      <c r="AC375" s="666"/>
    </row>
    <row r="376" spans="1:29" ht="14.25" x14ac:dyDescent="0.3">
      <c r="A376" s="1297"/>
      <c r="B376" s="1251"/>
      <c r="C376" s="607" t="str">
        <f>C365</f>
        <v>ŽELEZNIČNÍ osobní doprava</v>
      </c>
      <c r="D376" s="605">
        <f>SUM(E376:S376,E386:S386)</f>
        <v>0</v>
      </c>
      <c r="E376" s="691"/>
      <c r="F376" s="691"/>
      <c r="G376" s="691"/>
      <c r="H376" s="691"/>
      <c r="I376" s="691"/>
      <c r="J376" s="691"/>
      <c r="K376" s="691"/>
      <c r="L376" s="691"/>
      <c r="M376" s="691"/>
      <c r="N376" s="691"/>
      <c r="O376" s="691"/>
      <c r="P376" s="691"/>
      <c r="Q376" s="691"/>
      <c r="R376" s="691"/>
      <c r="S376" s="691"/>
      <c r="T376" s="2080"/>
      <c r="U376" s="666"/>
      <c r="V376" s="666"/>
      <c r="W376" s="666"/>
      <c r="X376" s="666"/>
      <c r="Y376" s="666"/>
      <c r="Z376" s="666"/>
      <c r="AA376" s="666"/>
      <c r="AB376" s="666"/>
      <c r="AC376" s="666"/>
    </row>
    <row r="377" spans="1:29" ht="14.25" x14ac:dyDescent="0.3">
      <c r="A377" s="1297"/>
      <c r="B377" s="1252"/>
      <c r="C377" s="607" t="str">
        <f t="shared" ref="C377:C382" si="70">C366</f>
        <v>ŽELEZNIČNÍ nákladní doprava</v>
      </c>
      <c r="D377" s="608">
        <f t="shared" ref="D377:D382" si="71">SUM(E377:S377,E387:S387)</f>
        <v>0</v>
      </c>
      <c r="E377" s="691"/>
      <c r="F377" s="691"/>
      <c r="G377" s="691"/>
      <c r="H377" s="691"/>
      <c r="I377" s="691"/>
      <c r="J377" s="691"/>
      <c r="K377" s="691"/>
      <c r="L377" s="691"/>
      <c r="M377" s="691"/>
      <c r="N377" s="691"/>
      <c r="O377" s="691"/>
      <c r="P377" s="691"/>
      <c r="Q377" s="691"/>
      <c r="R377" s="691"/>
      <c r="S377" s="691"/>
      <c r="T377" s="2080"/>
      <c r="U377" s="666"/>
      <c r="V377" s="666"/>
      <c r="W377" s="666"/>
      <c r="X377" s="666"/>
      <c r="Y377" s="666"/>
      <c r="Z377" s="666"/>
      <c r="AA377" s="666"/>
      <c r="AB377" s="666"/>
      <c r="AC377" s="666"/>
    </row>
    <row r="378" spans="1:29" ht="14.25" x14ac:dyDescent="0.3">
      <c r="A378" s="1297"/>
      <c r="B378" s="1252"/>
      <c r="C378" s="1245" t="str">
        <f t="shared" si="70"/>
        <v>SILNIČNÍ osobní doprava</v>
      </c>
      <c r="D378" s="608">
        <f t="shared" si="71"/>
        <v>0</v>
      </c>
      <c r="E378" s="691"/>
      <c r="F378" s="691"/>
      <c r="G378" s="691"/>
      <c r="H378" s="691"/>
      <c r="I378" s="691"/>
      <c r="J378" s="691"/>
      <c r="K378" s="691"/>
      <c r="L378" s="691"/>
      <c r="M378" s="691"/>
      <c r="N378" s="691"/>
      <c r="O378" s="691"/>
      <c r="P378" s="691"/>
      <c r="Q378" s="691"/>
      <c r="R378" s="691"/>
      <c r="S378" s="691"/>
      <c r="T378" s="2080"/>
      <c r="U378" s="666"/>
      <c r="V378" s="666"/>
      <c r="W378" s="666"/>
      <c r="X378" s="666"/>
      <c r="Y378" s="666"/>
      <c r="Z378" s="666"/>
      <c r="AA378" s="666"/>
      <c r="AB378" s="666"/>
      <c r="AC378" s="666"/>
    </row>
    <row r="379" spans="1:29" ht="14.25" x14ac:dyDescent="0.3">
      <c r="A379" s="1297"/>
      <c r="B379" s="1252"/>
      <c r="C379" s="1245" t="str">
        <f t="shared" si="70"/>
        <v>SILNIČNÍ nákladní doprava</v>
      </c>
      <c r="D379" s="608">
        <f t="shared" si="71"/>
        <v>0</v>
      </c>
      <c r="E379" s="691"/>
      <c r="F379" s="691"/>
      <c r="G379" s="691"/>
      <c r="H379" s="691"/>
      <c r="I379" s="691"/>
      <c r="J379" s="691"/>
      <c r="K379" s="691"/>
      <c r="L379" s="691"/>
      <c r="M379" s="691"/>
      <c r="N379" s="691"/>
      <c r="O379" s="691"/>
      <c r="P379" s="691"/>
      <c r="Q379" s="691"/>
      <c r="R379" s="691"/>
      <c r="S379" s="691"/>
      <c r="T379" s="2080"/>
      <c r="U379" s="666"/>
      <c r="V379" s="666"/>
      <c r="W379" s="666"/>
      <c r="X379" s="666"/>
      <c r="Y379" s="666"/>
      <c r="Z379" s="666"/>
      <c r="AA379" s="666"/>
      <c r="AB379" s="666"/>
      <c r="AC379" s="666"/>
    </row>
    <row r="380" spans="1:29" ht="14.25" x14ac:dyDescent="0.3">
      <c r="A380" s="1297"/>
      <c r="B380" s="1252"/>
      <c r="C380" s="1245" t="str">
        <f t="shared" si="70"/>
        <v>VODNÍ nákladní doprava</v>
      </c>
      <c r="D380" s="608">
        <f t="shared" si="71"/>
        <v>0</v>
      </c>
      <c r="E380" s="691"/>
      <c r="F380" s="691"/>
      <c r="G380" s="691"/>
      <c r="H380" s="691"/>
      <c r="I380" s="691"/>
      <c r="J380" s="691"/>
      <c r="K380" s="691"/>
      <c r="L380" s="691"/>
      <c r="M380" s="691"/>
      <c r="N380" s="691"/>
      <c r="O380" s="691"/>
      <c r="P380" s="691"/>
      <c r="Q380" s="691"/>
      <c r="R380" s="691"/>
      <c r="S380" s="691"/>
      <c r="T380" s="2080"/>
      <c r="U380" s="666"/>
      <c r="V380" s="666"/>
      <c r="W380" s="666"/>
      <c r="X380" s="666"/>
      <c r="Y380" s="666"/>
      <c r="Z380" s="666"/>
      <c r="AA380" s="666"/>
      <c r="AB380" s="666"/>
      <c r="AC380" s="666"/>
    </row>
    <row r="381" spans="1:29" ht="14.25" x14ac:dyDescent="0.3">
      <c r="A381" s="1297"/>
      <c r="B381" s="1252"/>
      <c r="C381" s="1245" t="str">
        <f t="shared" si="70"/>
        <v>OSTATNÍ osobní doprava</v>
      </c>
      <c r="D381" s="608">
        <f t="shared" si="71"/>
        <v>0</v>
      </c>
      <c r="E381" s="691"/>
      <c r="F381" s="691"/>
      <c r="G381" s="691"/>
      <c r="H381" s="691"/>
      <c r="I381" s="691"/>
      <c r="J381" s="691"/>
      <c r="K381" s="691"/>
      <c r="L381" s="691"/>
      <c r="M381" s="691"/>
      <c r="N381" s="691"/>
      <c r="O381" s="691"/>
      <c r="P381" s="691"/>
      <c r="Q381" s="691"/>
      <c r="R381" s="691"/>
      <c r="S381" s="691"/>
      <c r="T381" s="2080"/>
      <c r="U381" s="666"/>
      <c r="V381" s="666"/>
      <c r="W381" s="666"/>
      <c r="X381" s="666"/>
      <c r="Y381" s="666"/>
      <c r="Z381" s="666"/>
      <c r="AA381" s="666"/>
      <c r="AB381" s="666"/>
      <c r="AC381" s="666"/>
    </row>
    <row r="382" spans="1:29" ht="15" thickBot="1" x14ac:dyDescent="0.35">
      <c r="A382" s="1297"/>
      <c r="B382" s="1258"/>
      <c r="C382" s="1248" t="str">
        <f t="shared" si="70"/>
        <v>OSTATNÍ nákladní doprava</v>
      </c>
      <c r="D382" s="1250">
        <f t="shared" si="71"/>
        <v>0</v>
      </c>
      <c r="E382" s="691"/>
      <c r="F382" s="691"/>
      <c r="G382" s="691"/>
      <c r="H382" s="691"/>
      <c r="I382" s="691"/>
      <c r="J382" s="691"/>
      <c r="K382" s="691"/>
      <c r="L382" s="691"/>
      <c r="M382" s="691"/>
      <c r="N382" s="691"/>
      <c r="O382" s="691"/>
      <c r="P382" s="691"/>
      <c r="Q382" s="691"/>
      <c r="R382" s="691"/>
      <c r="S382" s="691"/>
      <c r="T382" s="2080"/>
      <c r="U382" s="666"/>
      <c r="V382" s="666"/>
      <c r="W382" s="666"/>
      <c r="X382" s="666"/>
      <c r="Y382" s="666"/>
      <c r="Z382" s="666"/>
      <c r="AA382" s="666"/>
      <c r="AB382" s="666"/>
      <c r="AC382" s="666"/>
    </row>
    <row r="383" spans="1:29" ht="14.25" thickBot="1" x14ac:dyDescent="0.35">
      <c r="A383" s="1297"/>
      <c r="B383" s="1298"/>
      <c r="C383" s="1299"/>
      <c r="D383" s="1300"/>
      <c r="E383" s="2070"/>
      <c r="F383" s="2070"/>
      <c r="G383" s="2070"/>
      <c r="H383" s="2070"/>
      <c r="I383" s="2070"/>
      <c r="J383" s="2070"/>
      <c r="K383" s="2070"/>
      <c r="L383" s="2070"/>
      <c r="M383" s="2070"/>
      <c r="N383" s="2070"/>
      <c r="O383" s="2070"/>
      <c r="P383" s="2070"/>
      <c r="Q383" s="2070"/>
      <c r="R383" s="2070"/>
      <c r="S383" s="2070"/>
      <c r="T383" s="1291"/>
      <c r="U383" s="666"/>
      <c r="V383" s="666"/>
      <c r="W383" s="666"/>
      <c r="X383" s="666"/>
      <c r="Y383" s="666"/>
      <c r="Z383" s="666"/>
      <c r="AA383" s="666"/>
      <c r="AB383" s="666"/>
      <c r="AC383" s="666"/>
    </row>
    <row r="384" spans="1:29" ht="14.25" x14ac:dyDescent="0.3">
      <c r="A384" s="1297"/>
      <c r="B384" s="1368" t="str">
        <f>B374</f>
        <v>6.12.</v>
      </c>
      <c r="C384" s="1254" t="str">
        <f>C363</f>
        <v>Zmírnění změny klimatu - t NOx / rok</v>
      </c>
      <c r="D384" s="949"/>
      <c r="E384" s="2379">
        <f>S374+1</f>
        <v>2036</v>
      </c>
      <c r="F384" s="2373">
        <f t="shared" ref="F384:S384" si="72">E384+1</f>
        <v>2037</v>
      </c>
      <c r="G384" s="2373">
        <f t="shared" si="72"/>
        <v>2038</v>
      </c>
      <c r="H384" s="2373">
        <f t="shared" si="72"/>
        <v>2039</v>
      </c>
      <c r="I384" s="2373">
        <f t="shared" si="72"/>
        <v>2040</v>
      </c>
      <c r="J384" s="2373">
        <f t="shared" si="72"/>
        <v>2041</v>
      </c>
      <c r="K384" s="2373">
        <f t="shared" si="72"/>
        <v>2042</v>
      </c>
      <c r="L384" s="2373">
        <f t="shared" si="72"/>
        <v>2043</v>
      </c>
      <c r="M384" s="2373">
        <f t="shared" si="72"/>
        <v>2044</v>
      </c>
      <c r="N384" s="2373">
        <f t="shared" si="72"/>
        <v>2045</v>
      </c>
      <c r="O384" s="2373">
        <f t="shared" si="72"/>
        <v>2046</v>
      </c>
      <c r="P384" s="2373">
        <f t="shared" si="72"/>
        <v>2047</v>
      </c>
      <c r="Q384" s="2373">
        <f t="shared" si="72"/>
        <v>2048</v>
      </c>
      <c r="R384" s="2373">
        <f t="shared" si="72"/>
        <v>2049</v>
      </c>
      <c r="S384" s="2367">
        <f t="shared" si="72"/>
        <v>2050</v>
      </c>
      <c r="T384" s="1291"/>
      <c r="U384" s="666"/>
      <c r="V384" s="666"/>
      <c r="W384" s="666"/>
      <c r="X384" s="666"/>
      <c r="Y384" s="666"/>
      <c r="Z384" s="666"/>
      <c r="AA384" s="666"/>
      <c r="AB384" s="666"/>
      <c r="AC384" s="666"/>
    </row>
    <row r="385" spans="1:29" ht="15" thickBot="1" x14ac:dyDescent="0.35">
      <c r="A385" s="1297"/>
      <c r="B385" s="875" t="s">
        <v>24</v>
      </c>
      <c r="C385" s="876" t="str">
        <f>C375</f>
        <v>Scénář bez projektu</v>
      </c>
      <c r="D385" s="1257"/>
      <c r="E385" s="2380"/>
      <c r="F385" s="2374"/>
      <c r="G385" s="2374"/>
      <c r="H385" s="2374"/>
      <c r="I385" s="2374"/>
      <c r="J385" s="2374"/>
      <c r="K385" s="2374"/>
      <c r="L385" s="2374"/>
      <c r="M385" s="2374"/>
      <c r="N385" s="2374"/>
      <c r="O385" s="2374"/>
      <c r="P385" s="2374"/>
      <c r="Q385" s="2374"/>
      <c r="R385" s="2374"/>
      <c r="S385" s="2368"/>
      <c r="T385" s="1291"/>
      <c r="U385" s="666"/>
      <c r="V385" s="666"/>
      <c r="W385" s="666"/>
      <c r="X385" s="666"/>
      <c r="Y385" s="666"/>
      <c r="Z385" s="666"/>
      <c r="AA385" s="666"/>
      <c r="AB385" s="666"/>
      <c r="AC385" s="666"/>
    </row>
    <row r="386" spans="1:29" ht="14.25" x14ac:dyDescent="0.3">
      <c r="A386" s="1297"/>
      <c r="B386" s="1251"/>
      <c r="C386" s="607" t="str">
        <f>C376</f>
        <v>ŽELEZNIČNÍ osobní doprava</v>
      </c>
      <c r="D386" s="912"/>
      <c r="E386" s="691"/>
      <c r="F386" s="691"/>
      <c r="G386" s="691"/>
      <c r="H386" s="691"/>
      <c r="I386" s="691"/>
      <c r="J386" s="691"/>
      <c r="K386" s="691"/>
      <c r="L386" s="691"/>
      <c r="M386" s="691"/>
      <c r="N386" s="691"/>
      <c r="O386" s="691"/>
      <c r="P386" s="691"/>
      <c r="Q386" s="693"/>
      <c r="R386" s="693"/>
      <c r="S386" s="693"/>
      <c r="T386" s="2080"/>
      <c r="U386" s="666"/>
      <c r="V386" s="666"/>
      <c r="W386" s="666"/>
      <c r="X386" s="666"/>
      <c r="Y386" s="666"/>
      <c r="Z386" s="666"/>
      <c r="AA386" s="666"/>
      <c r="AB386" s="666"/>
      <c r="AC386" s="666"/>
    </row>
    <row r="387" spans="1:29" ht="14.25" x14ac:dyDescent="0.3">
      <c r="A387" s="1297"/>
      <c r="B387" s="1253"/>
      <c r="C387" s="607" t="str">
        <f t="shared" ref="C387:C392" si="73">C377</f>
        <v>ŽELEZNIČNÍ nákladní doprava</v>
      </c>
      <c r="D387" s="625"/>
      <c r="E387" s="691"/>
      <c r="F387" s="693"/>
      <c r="G387" s="693"/>
      <c r="H387" s="693"/>
      <c r="I387" s="693"/>
      <c r="J387" s="693"/>
      <c r="K387" s="693"/>
      <c r="L387" s="693"/>
      <c r="M387" s="693"/>
      <c r="N387" s="693"/>
      <c r="O387" s="693"/>
      <c r="P387" s="693"/>
      <c r="Q387" s="693"/>
      <c r="R387" s="693"/>
      <c r="S387" s="693"/>
      <c r="T387" s="2080"/>
      <c r="U387" s="666"/>
      <c r="V387" s="666"/>
      <c r="W387" s="666"/>
      <c r="X387" s="666"/>
      <c r="Y387" s="666"/>
      <c r="Z387" s="666"/>
      <c r="AA387" s="666"/>
      <c r="AB387" s="666"/>
      <c r="AC387" s="666"/>
    </row>
    <row r="388" spans="1:29" ht="14.25" x14ac:dyDescent="0.3">
      <c r="A388" s="1297"/>
      <c r="B388" s="1253"/>
      <c r="C388" s="1245" t="str">
        <f t="shared" si="73"/>
        <v>SILNIČNÍ osobní doprava</v>
      </c>
      <c r="D388" s="625"/>
      <c r="E388" s="691"/>
      <c r="F388" s="693"/>
      <c r="G388" s="693"/>
      <c r="H388" s="693"/>
      <c r="I388" s="693"/>
      <c r="J388" s="693"/>
      <c r="K388" s="693"/>
      <c r="L388" s="693"/>
      <c r="M388" s="693"/>
      <c r="N388" s="693"/>
      <c r="O388" s="693"/>
      <c r="P388" s="693"/>
      <c r="Q388" s="693"/>
      <c r="R388" s="693"/>
      <c r="S388" s="693"/>
      <c r="T388" s="2080"/>
      <c r="U388" s="666"/>
      <c r="V388" s="666"/>
      <c r="W388" s="666"/>
      <c r="X388" s="666"/>
      <c r="Y388" s="666"/>
      <c r="Z388" s="666"/>
      <c r="AA388" s="666"/>
      <c r="AB388" s="666"/>
      <c r="AC388" s="666"/>
    </row>
    <row r="389" spans="1:29" ht="14.25" x14ac:dyDescent="0.3">
      <c r="A389" s="1297"/>
      <c r="B389" s="1253"/>
      <c r="C389" s="1245" t="str">
        <f t="shared" si="73"/>
        <v>SILNIČNÍ nákladní doprava</v>
      </c>
      <c r="D389" s="625"/>
      <c r="E389" s="691"/>
      <c r="F389" s="693"/>
      <c r="G389" s="693"/>
      <c r="H389" s="693"/>
      <c r="I389" s="693"/>
      <c r="J389" s="693"/>
      <c r="K389" s="693"/>
      <c r="L389" s="693"/>
      <c r="M389" s="693"/>
      <c r="N389" s="693"/>
      <c r="O389" s="693"/>
      <c r="P389" s="693"/>
      <c r="Q389" s="693"/>
      <c r="R389" s="693"/>
      <c r="S389" s="693"/>
      <c r="T389" s="2080"/>
      <c r="U389" s="666"/>
      <c r="V389" s="666"/>
      <c r="W389" s="666"/>
      <c r="X389" s="666"/>
      <c r="Y389" s="666"/>
      <c r="Z389" s="666"/>
      <c r="AA389" s="666"/>
      <c r="AB389" s="666"/>
      <c r="AC389" s="666"/>
    </row>
    <row r="390" spans="1:29" ht="14.25" x14ac:dyDescent="0.3">
      <c r="A390" s="1297"/>
      <c r="B390" s="1253"/>
      <c r="C390" s="1245" t="str">
        <f t="shared" si="73"/>
        <v>VODNÍ nákladní doprava</v>
      </c>
      <c r="D390" s="625"/>
      <c r="E390" s="691"/>
      <c r="F390" s="693"/>
      <c r="G390" s="693"/>
      <c r="H390" s="693"/>
      <c r="I390" s="693"/>
      <c r="J390" s="693"/>
      <c r="K390" s="693"/>
      <c r="L390" s="693"/>
      <c r="M390" s="693"/>
      <c r="N390" s="693"/>
      <c r="O390" s="693"/>
      <c r="P390" s="693"/>
      <c r="Q390" s="693"/>
      <c r="R390" s="693"/>
      <c r="S390" s="693"/>
      <c r="T390" s="2080"/>
      <c r="U390" s="666"/>
      <c r="V390" s="666"/>
      <c r="W390" s="666"/>
      <c r="X390" s="666"/>
      <c r="Y390" s="666"/>
      <c r="Z390" s="666"/>
      <c r="AA390" s="666"/>
      <c r="AB390" s="666"/>
      <c r="AC390" s="666"/>
    </row>
    <row r="391" spans="1:29" ht="14.25" x14ac:dyDescent="0.3">
      <c r="A391" s="1297"/>
      <c r="B391" s="1253"/>
      <c r="C391" s="1245" t="str">
        <f t="shared" si="73"/>
        <v>OSTATNÍ osobní doprava</v>
      </c>
      <c r="D391" s="625"/>
      <c r="E391" s="691"/>
      <c r="F391" s="693"/>
      <c r="G391" s="693"/>
      <c r="H391" s="693"/>
      <c r="I391" s="693"/>
      <c r="J391" s="693"/>
      <c r="K391" s="693"/>
      <c r="L391" s="693"/>
      <c r="M391" s="693"/>
      <c r="N391" s="693"/>
      <c r="O391" s="693"/>
      <c r="P391" s="693"/>
      <c r="Q391" s="693"/>
      <c r="R391" s="693"/>
      <c r="S391" s="693"/>
      <c r="T391" s="2080"/>
      <c r="U391" s="666"/>
      <c r="V391" s="666"/>
      <c r="W391" s="666"/>
      <c r="X391" s="666"/>
      <c r="Y391" s="666"/>
      <c r="Z391" s="666"/>
      <c r="AA391" s="666"/>
      <c r="AB391" s="666"/>
      <c r="AC391" s="666"/>
    </row>
    <row r="392" spans="1:29" ht="15" thickBot="1" x14ac:dyDescent="0.35">
      <c r="A392" s="1297"/>
      <c r="B392" s="1259"/>
      <c r="C392" s="1248" t="str">
        <f t="shared" si="73"/>
        <v>OSTATNÍ nákladní doprava</v>
      </c>
      <c r="D392" s="1249"/>
      <c r="E392" s="693"/>
      <c r="F392" s="693"/>
      <c r="G392" s="693"/>
      <c r="H392" s="693"/>
      <c r="I392" s="693"/>
      <c r="J392" s="693"/>
      <c r="K392" s="693"/>
      <c r="L392" s="693"/>
      <c r="M392" s="693"/>
      <c r="N392" s="693"/>
      <c r="O392" s="693"/>
      <c r="P392" s="693"/>
      <c r="Q392" s="693"/>
      <c r="R392" s="693"/>
      <c r="S392" s="693"/>
      <c r="T392" s="2080"/>
      <c r="U392" s="666"/>
      <c r="V392" s="666"/>
      <c r="W392" s="666"/>
      <c r="X392" s="666"/>
      <c r="Y392" s="666"/>
      <c r="Z392" s="666"/>
      <c r="AA392" s="666"/>
      <c r="AB392" s="666"/>
      <c r="AC392" s="666"/>
    </row>
    <row r="393" spans="1:29" ht="14.25" thickBot="1" x14ac:dyDescent="0.35">
      <c r="A393" s="1297"/>
      <c r="B393" s="1301"/>
      <c r="C393" s="1302"/>
      <c r="D393" s="1300"/>
      <c r="E393" s="2071"/>
      <c r="F393" s="2071"/>
      <c r="G393" s="2071"/>
      <c r="H393" s="2071"/>
      <c r="I393" s="2071"/>
      <c r="J393" s="2071"/>
      <c r="K393" s="2071"/>
      <c r="L393" s="2071"/>
      <c r="M393" s="2071"/>
      <c r="N393" s="2071"/>
      <c r="O393" s="2071"/>
      <c r="P393" s="2071"/>
      <c r="Q393" s="2071"/>
      <c r="R393" s="2071"/>
      <c r="S393" s="2071"/>
      <c r="T393" s="1291"/>
      <c r="U393" s="666"/>
      <c r="V393" s="666"/>
      <c r="W393" s="666"/>
      <c r="X393" s="666"/>
      <c r="Y393" s="666"/>
      <c r="Z393" s="666"/>
      <c r="AA393" s="666"/>
      <c r="AB393" s="666"/>
      <c r="AC393" s="666"/>
    </row>
    <row r="394" spans="1:29" ht="14.25" thickBot="1" x14ac:dyDescent="0.35">
      <c r="A394" s="1304"/>
      <c r="B394" s="1305"/>
      <c r="C394" s="1306"/>
      <c r="D394" s="1307"/>
      <c r="E394" s="1308"/>
      <c r="F394" s="1308"/>
      <c r="G394" s="1308"/>
      <c r="H394" s="1308"/>
      <c r="I394" s="1308"/>
      <c r="J394" s="1308"/>
      <c r="K394" s="1308"/>
      <c r="L394" s="1308"/>
      <c r="M394" s="1308"/>
      <c r="N394" s="1308"/>
      <c r="O394" s="1308"/>
      <c r="P394" s="1308"/>
      <c r="Q394" s="1308"/>
      <c r="R394" s="1308"/>
      <c r="S394" s="1308"/>
      <c r="T394" s="1309"/>
      <c r="U394" s="666"/>
      <c r="V394" s="666"/>
      <c r="W394" s="666"/>
      <c r="X394" s="666"/>
      <c r="Y394" s="666"/>
      <c r="Z394" s="666"/>
      <c r="AA394" s="666"/>
      <c r="AB394" s="666"/>
      <c r="AC394" s="666"/>
    </row>
    <row r="395" spans="1:29" ht="14.25" x14ac:dyDescent="0.3">
      <c r="A395" s="1311"/>
      <c r="B395" s="1156" t="s">
        <v>155</v>
      </c>
      <c r="C395" s="897" t="str">
        <f>IF('0 Úvod'!$M$10="English",Slovnik!$D$381,Slovnik!$C$381)</f>
        <v>Emise škodlivin - t SO2 / rok</v>
      </c>
      <c r="D395" s="898"/>
      <c r="E395" s="2363">
        <f>E353</f>
        <v>2021</v>
      </c>
      <c r="F395" s="2361">
        <f t="shared" ref="F395:S395" si="74">E395+1</f>
        <v>2022</v>
      </c>
      <c r="G395" s="2361">
        <f t="shared" si="74"/>
        <v>2023</v>
      </c>
      <c r="H395" s="2361">
        <f t="shared" si="74"/>
        <v>2024</v>
      </c>
      <c r="I395" s="2361">
        <f t="shared" si="74"/>
        <v>2025</v>
      </c>
      <c r="J395" s="2361">
        <f t="shared" si="74"/>
        <v>2026</v>
      </c>
      <c r="K395" s="2361">
        <f t="shared" si="74"/>
        <v>2027</v>
      </c>
      <c r="L395" s="2361">
        <f t="shared" si="74"/>
        <v>2028</v>
      </c>
      <c r="M395" s="2361">
        <f t="shared" si="74"/>
        <v>2029</v>
      </c>
      <c r="N395" s="2361">
        <f t="shared" si="74"/>
        <v>2030</v>
      </c>
      <c r="O395" s="2361">
        <f t="shared" si="74"/>
        <v>2031</v>
      </c>
      <c r="P395" s="2361">
        <f t="shared" si="74"/>
        <v>2032</v>
      </c>
      <c r="Q395" s="2361">
        <f t="shared" si="74"/>
        <v>2033</v>
      </c>
      <c r="R395" s="2361">
        <f t="shared" si="74"/>
        <v>2034</v>
      </c>
      <c r="S395" s="2365">
        <f t="shared" si="74"/>
        <v>2035</v>
      </c>
      <c r="T395" s="1310"/>
      <c r="U395" s="666"/>
      <c r="V395" s="666"/>
      <c r="W395" s="666"/>
      <c r="X395" s="666"/>
      <c r="Y395" s="666"/>
      <c r="Z395" s="666"/>
      <c r="AA395" s="666"/>
      <c r="AB395" s="666"/>
      <c r="AC395" s="666"/>
    </row>
    <row r="396" spans="1:29" ht="15" thickBot="1" x14ac:dyDescent="0.35">
      <c r="A396" s="1311"/>
      <c r="B396" s="694" t="s">
        <v>23</v>
      </c>
      <c r="C396" s="840" t="str">
        <f>C364</f>
        <v>Scénář s projektem</v>
      </c>
      <c r="D396" s="696" t="str">
        <f>D375</f>
        <v>Celkem</v>
      </c>
      <c r="E396" s="2364"/>
      <c r="F396" s="2362"/>
      <c r="G396" s="2362"/>
      <c r="H396" s="2362"/>
      <c r="I396" s="2362"/>
      <c r="J396" s="2362"/>
      <c r="K396" s="2362"/>
      <c r="L396" s="2362"/>
      <c r="M396" s="2362"/>
      <c r="N396" s="2362"/>
      <c r="O396" s="2362"/>
      <c r="P396" s="2362"/>
      <c r="Q396" s="2362"/>
      <c r="R396" s="2362"/>
      <c r="S396" s="2366"/>
      <c r="T396" s="1310"/>
      <c r="U396" s="666"/>
      <c r="V396" s="666"/>
      <c r="W396" s="666"/>
      <c r="X396" s="666"/>
      <c r="Y396" s="666"/>
      <c r="Z396" s="666"/>
      <c r="AA396" s="666"/>
      <c r="AB396" s="666"/>
      <c r="AC396" s="666"/>
    </row>
    <row r="397" spans="1:29" ht="14.25" x14ac:dyDescent="0.3">
      <c r="A397" s="1311"/>
      <c r="B397" s="1251"/>
      <c r="C397" s="607" t="str">
        <f>C386</f>
        <v>ŽELEZNIČNÍ osobní doprava</v>
      </c>
      <c r="D397" s="605">
        <f>SUM(E397:S397,E407:S407)</f>
        <v>0</v>
      </c>
      <c r="E397" s="691"/>
      <c r="F397" s="691"/>
      <c r="G397" s="691"/>
      <c r="H397" s="691"/>
      <c r="I397" s="691"/>
      <c r="J397" s="691"/>
      <c r="K397" s="691"/>
      <c r="L397" s="691"/>
      <c r="M397" s="691"/>
      <c r="N397" s="691"/>
      <c r="O397" s="691"/>
      <c r="P397" s="691"/>
      <c r="Q397" s="691"/>
      <c r="R397" s="691"/>
      <c r="S397" s="691"/>
      <c r="T397" s="2081"/>
      <c r="U397" s="666"/>
      <c r="V397" s="666"/>
      <c r="W397" s="666"/>
      <c r="X397" s="666"/>
      <c r="Y397" s="666"/>
      <c r="Z397" s="666"/>
      <c r="AA397" s="666"/>
      <c r="AB397" s="666"/>
      <c r="AC397" s="666"/>
    </row>
    <row r="398" spans="1:29" ht="14.25" x14ac:dyDescent="0.3">
      <c r="A398" s="1311"/>
      <c r="B398" s="1252"/>
      <c r="C398" s="607" t="str">
        <f t="shared" ref="C398:C403" si="75">C387</f>
        <v>ŽELEZNIČNÍ nákladní doprava</v>
      </c>
      <c r="D398" s="608">
        <f t="shared" ref="D398:D403" si="76">SUM(E398:S398,E408:S408)</f>
        <v>0</v>
      </c>
      <c r="E398" s="691"/>
      <c r="F398" s="691"/>
      <c r="G398" s="691"/>
      <c r="H398" s="691"/>
      <c r="I398" s="691"/>
      <c r="J398" s="691"/>
      <c r="K398" s="691"/>
      <c r="L398" s="691"/>
      <c r="M398" s="691"/>
      <c r="N398" s="691"/>
      <c r="O398" s="691"/>
      <c r="P398" s="691"/>
      <c r="Q398" s="691"/>
      <c r="R398" s="691"/>
      <c r="S398" s="691"/>
      <c r="T398" s="2081"/>
      <c r="U398" s="666"/>
      <c r="V398" s="666"/>
      <c r="W398" s="666"/>
      <c r="X398" s="666"/>
      <c r="Y398" s="666"/>
      <c r="Z398" s="666"/>
      <c r="AA398" s="666"/>
      <c r="AB398" s="666"/>
      <c r="AC398" s="666"/>
    </row>
    <row r="399" spans="1:29" ht="14.25" x14ac:dyDescent="0.3">
      <c r="A399" s="1311"/>
      <c r="B399" s="1252"/>
      <c r="C399" s="1245" t="str">
        <f t="shared" si="75"/>
        <v>SILNIČNÍ osobní doprava</v>
      </c>
      <c r="D399" s="608">
        <f t="shared" si="76"/>
        <v>0</v>
      </c>
      <c r="E399" s="691"/>
      <c r="F399" s="691"/>
      <c r="G399" s="691"/>
      <c r="H399" s="691"/>
      <c r="I399" s="691"/>
      <c r="J399" s="691"/>
      <c r="K399" s="691"/>
      <c r="L399" s="691"/>
      <c r="M399" s="691"/>
      <c r="N399" s="691"/>
      <c r="O399" s="691"/>
      <c r="P399" s="691"/>
      <c r="Q399" s="691"/>
      <c r="R399" s="691"/>
      <c r="S399" s="691"/>
      <c r="T399" s="2081"/>
      <c r="U399" s="666"/>
      <c r="V399" s="666"/>
      <c r="W399" s="666"/>
      <c r="X399" s="666"/>
      <c r="Y399" s="666"/>
      <c r="Z399" s="666"/>
      <c r="AA399" s="666"/>
      <c r="AB399" s="666"/>
      <c r="AC399" s="666"/>
    </row>
    <row r="400" spans="1:29" ht="14.25" x14ac:dyDescent="0.3">
      <c r="A400" s="1311"/>
      <c r="B400" s="1252"/>
      <c r="C400" s="1245" t="str">
        <f t="shared" si="75"/>
        <v>SILNIČNÍ nákladní doprava</v>
      </c>
      <c r="D400" s="608">
        <f t="shared" si="76"/>
        <v>0</v>
      </c>
      <c r="E400" s="691"/>
      <c r="F400" s="691"/>
      <c r="G400" s="691"/>
      <c r="H400" s="691"/>
      <c r="I400" s="691"/>
      <c r="J400" s="691"/>
      <c r="K400" s="691"/>
      <c r="L400" s="691"/>
      <c r="M400" s="691"/>
      <c r="N400" s="691"/>
      <c r="O400" s="691"/>
      <c r="P400" s="691"/>
      <c r="Q400" s="691"/>
      <c r="R400" s="691"/>
      <c r="S400" s="691"/>
      <c r="T400" s="2081"/>
      <c r="U400" s="666"/>
      <c r="V400" s="666"/>
      <c r="W400" s="666"/>
      <c r="X400" s="666"/>
      <c r="Y400" s="666"/>
      <c r="Z400" s="666"/>
      <c r="AA400" s="666"/>
      <c r="AB400" s="666"/>
      <c r="AC400" s="666"/>
    </row>
    <row r="401" spans="1:29" ht="14.25" x14ac:dyDescent="0.3">
      <c r="A401" s="1311"/>
      <c r="B401" s="1252"/>
      <c r="C401" s="1245" t="str">
        <f t="shared" si="75"/>
        <v>VODNÍ nákladní doprava</v>
      </c>
      <c r="D401" s="608">
        <f t="shared" si="76"/>
        <v>0</v>
      </c>
      <c r="E401" s="691"/>
      <c r="F401" s="691"/>
      <c r="G401" s="691"/>
      <c r="H401" s="691"/>
      <c r="I401" s="691"/>
      <c r="J401" s="691"/>
      <c r="K401" s="691"/>
      <c r="L401" s="691"/>
      <c r="M401" s="691"/>
      <c r="N401" s="691"/>
      <c r="O401" s="691"/>
      <c r="P401" s="691"/>
      <c r="Q401" s="691"/>
      <c r="R401" s="691"/>
      <c r="S401" s="691"/>
      <c r="T401" s="2081"/>
      <c r="U401" s="666"/>
      <c r="V401" s="666"/>
      <c r="W401" s="666"/>
      <c r="X401" s="666"/>
      <c r="Y401" s="666"/>
      <c r="Z401" s="666"/>
      <c r="AA401" s="666"/>
      <c r="AB401" s="666"/>
      <c r="AC401" s="666"/>
    </row>
    <row r="402" spans="1:29" ht="14.25" x14ac:dyDescent="0.3">
      <c r="A402" s="1311"/>
      <c r="B402" s="1252"/>
      <c r="C402" s="1245" t="str">
        <f t="shared" si="75"/>
        <v>OSTATNÍ osobní doprava</v>
      </c>
      <c r="D402" s="608">
        <f t="shared" si="76"/>
        <v>0</v>
      </c>
      <c r="E402" s="691"/>
      <c r="F402" s="691"/>
      <c r="G402" s="691"/>
      <c r="H402" s="691"/>
      <c r="I402" s="691"/>
      <c r="J402" s="691"/>
      <c r="K402" s="691"/>
      <c r="L402" s="691"/>
      <c r="M402" s="691"/>
      <c r="N402" s="691"/>
      <c r="O402" s="691"/>
      <c r="P402" s="691"/>
      <c r="Q402" s="691"/>
      <c r="R402" s="691"/>
      <c r="S402" s="691"/>
      <c r="T402" s="2081"/>
      <c r="U402" s="666"/>
      <c r="V402" s="666"/>
      <c r="W402" s="666"/>
      <c r="X402" s="666"/>
      <c r="Y402" s="666"/>
      <c r="Z402" s="666"/>
      <c r="AA402" s="666"/>
      <c r="AB402" s="666"/>
      <c r="AC402" s="666"/>
    </row>
    <row r="403" spans="1:29" ht="15" thickBot="1" x14ac:dyDescent="0.35">
      <c r="A403" s="1311"/>
      <c r="B403" s="1258"/>
      <c r="C403" s="1248" t="str">
        <f t="shared" si="75"/>
        <v>OSTATNÍ nákladní doprava</v>
      </c>
      <c r="D403" s="1250">
        <f t="shared" si="76"/>
        <v>0</v>
      </c>
      <c r="E403" s="691"/>
      <c r="F403" s="691"/>
      <c r="G403" s="691"/>
      <c r="H403" s="691"/>
      <c r="I403" s="691"/>
      <c r="J403" s="691"/>
      <c r="K403" s="691"/>
      <c r="L403" s="691"/>
      <c r="M403" s="691"/>
      <c r="N403" s="691"/>
      <c r="O403" s="691"/>
      <c r="P403" s="691"/>
      <c r="Q403" s="691"/>
      <c r="R403" s="691"/>
      <c r="S403" s="691"/>
      <c r="T403" s="2081"/>
      <c r="U403" s="666"/>
      <c r="V403" s="666"/>
      <c r="W403" s="666"/>
      <c r="X403" s="666"/>
      <c r="Y403" s="666"/>
      <c r="Z403" s="666"/>
      <c r="AA403" s="666"/>
      <c r="AB403" s="666"/>
      <c r="AC403" s="666"/>
    </row>
    <row r="404" spans="1:29" ht="14.25" thickBot="1" x14ac:dyDescent="0.35">
      <c r="A404" s="1311"/>
      <c r="B404" s="1312"/>
      <c r="C404" s="1313"/>
      <c r="D404" s="1314"/>
      <c r="E404" s="2072"/>
      <c r="F404" s="2072"/>
      <c r="G404" s="2072"/>
      <c r="H404" s="2072"/>
      <c r="I404" s="2072"/>
      <c r="J404" s="2072"/>
      <c r="K404" s="2072"/>
      <c r="L404" s="2072"/>
      <c r="M404" s="2072"/>
      <c r="N404" s="2072"/>
      <c r="O404" s="2072"/>
      <c r="P404" s="2072"/>
      <c r="Q404" s="2072"/>
      <c r="R404" s="2072"/>
      <c r="S404" s="2072"/>
      <c r="T404" s="1310"/>
      <c r="U404" s="666"/>
      <c r="V404" s="666"/>
      <c r="W404" s="666"/>
      <c r="X404" s="666"/>
      <c r="Y404" s="666"/>
      <c r="Z404" s="666"/>
      <c r="AA404" s="666"/>
      <c r="AB404" s="666"/>
      <c r="AC404" s="666"/>
    </row>
    <row r="405" spans="1:29" ht="14.25" x14ac:dyDescent="0.3">
      <c r="A405" s="1311"/>
      <c r="B405" s="1156" t="str">
        <f>B395</f>
        <v>6.13.</v>
      </c>
      <c r="C405" s="897" t="str">
        <f>IF('0 Úvod'!$M$10="English",Slovnik!$D$382,Slovnik!$C$382)</f>
        <v>Zmírnění změny klimatu - t SO2 / rok</v>
      </c>
      <c r="D405" s="899"/>
      <c r="E405" s="2363">
        <f>S395+1</f>
        <v>2036</v>
      </c>
      <c r="F405" s="2361">
        <f t="shared" ref="F405:S405" si="77">E405+1</f>
        <v>2037</v>
      </c>
      <c r="G405" s="2361">
        <f t="shared" si="77"/>
        <v>2038</v>
      </c>
      <c r="H405" s="2361">
        <f t="shared" si="77"/>
        <v>2039</v>
      </c>
      <c r="I405" s="2361">
        <f t="shared" si="77"/>
        <v>2040</v>
      </c>
      <c r="J405" s="2361">
        <f t="shared" si="77"/>
        <v>2041</v>
      </c>
      <c r="K405" s="2361">
        <f t="shared" si="77"/>
        <v>2042</v>
      </c>
      <c r="L405" s="2361">
        <f t="shared" si="77"/>
        <v>2043</v>
      </c>
      <c r="M405" s="2361">
        <f t="shared" si="77"/>
        <v>2044</v>
      </c>
      <c r="N405" s="2361">
        <f t="shared" si="77"/>
        <v>2045</v>
      </c>
      <c r="O405" s="2361">
        <f t="shared" si="77"/>
        <v>2046</v>
      </c>
      <c r="P405" s="2361">
        <f t="shared" si="77"/>
        <v>2047</v>
      </c>
      <c r="Q405" s="2361">
        <f t="shared" si="77"/>
        <v>2048</v>
      </c>
      <c r="R405" s="2361">
        <f t="shared" si="77"/>
        <v>2049</v>
      </c>
      <c r="S405" s="2365">
        <f t="shared" si="77"/>
        <v>2050</v>
      </c>
      <c r="T405" s="1310"/>
      <c r="U405" s="666"/>
      <c r="V405" s="666"/>
      <c r="W405" s="666"/>
      <c r="X405" s="666"/>
      <c r="Y405" s="666"/>
      <c r="Z405" s="666"/>
      <c r="AA405" s="666"/>
      <c r="AB405" s="666"/>
      <c r="AC405" s="666"/>
    </row>
    <row r="406" spans="1:29" ht="15" thickBot="1" x14ac:dyDescent="0.35">
      <c r="A406" s="1311"/>
      <c r="B406" s="694" t="s">
        <v>24</v>
      </c>
      <c r="C406" s="840" t="str">
        <f>C396</f>
        <v>Scénář s projektem</v>
      </c>
      <c r="D406" s="1256"/>
      <c r="E406" s="2364"/>
      <c r="F406" s="2362"/>
      <c r="G406" s="2362"/>
      <c r="H406" s="2362"/>
      <c r="I406" s="2362"/>
      <c r="J406" s="2362"/>
      <c r="K406" s="2362"/>
      <c r="L406" s="2362"/>
      <c r="M406" s="2362"/>
      <c r="N406" s="2362"/>
      <c r="O406" s="2362"/>
      <c r="P406" s="2362"/>
      <c r="Q406" s="2362"/>
      <c r="R406" s="2362"/>
      <c r="S406" s="2366"/>
      <c r="T406" s="1310"/>
      <c r="U406" s="666"/>
      <c r="V406" s="666"/>
      <c r="W406" s="666"/>
      <c r="X406" s="666"/>
      <c r="Y406" s="666"/>
      <c r="Z406" s="666"/>
      <c r="AA406" s="666"/>
      <c r="AB406" s="666"/>
      <c r="AC406" s="666"/>
    </row>
    <row r="407" spans="1:29" ht="14.25" x14ac:dyDescent="0.3">
      <c r="A407" s="1311"/>
      <c r="B407" s="1251"/>
      <c r="C407" s="607" t="str">
        <f>C397</f>
        <v>ŽELEZNIČNÍ osobní doprava</v>
      </c>
      <c r="D407" s="912"/>
      <c r="E407" s="691"/>
      <c r="F407" s="693"/>
      <c r="G407" s="693"/>
      <c r="H407" s="693"/>
      <c r="I407" s="693"/>
      <c r="J407" s="693"/>
      <c r="K407" s="693"/>
      <c r="L407" s="693"/>
      <c r="M407" s="693"/>
      <c r="N407" s="693"/>
      <c r="O407" s="693"/>
      <c r="P407" s="693"/>
      <c r="Q407" s="693"/>
      <c r="R407" s="693"/>
      <c r="S407" s="693"/>
      <c r="T407" s="2081"/>
      <c r="U407" s="666"/>
      <c r="V407" s="666"/>
      <c r="W407" s="666"/>
      <c r="X407" s="666"/>
      <c r="Y407" s="666"/>
      <c r="Z407" s="666"/>
      <c r="AA407" s="666"/>
      <c r="AB407" s="666"/>
      <c r="AC407" s="666"/>
    </row>
    <row r="408" spans="1:29" ht="14.25" x14ac:dyDescent="0.3">
      <c r="A408" s="1311"/>
      <c r="B408" s="1253"/>
      <c r="C408" s="607" t="str">
        <f t="shared" ref="C408:C413" si="78">C398</f>
        <v>ŽELEZNIČNÍ nákladní doprava</v>
      </c>
      <c r="D408" s="625"/>
      <c r="E408" s="693"/>
      <c r="F408" s="693"/>
      <c r="G408" s="693"/>
      <c r="H408" s="693"/>
      <c r="I408" s="693"/>
      <c r="J408" s="693"/>
      <c r="K408" s="693"/>
      <c r="L408" s="693"/>
      <c r="M408" s="693"/>
      <c r="N408" s="693"/>
      <c r="O408" s="693"/>
      <c r="P408" s="693"/>
      <c r="Q408" s="693"/>
      <c r="R408" s="693"/>
      <c r="S408" s="693"/>
      <c r="T408" s="2081"/>
      <c r="U408" s="666"/>
      <c r="V408" s="666"/>
      <c r="W408" s="666"/>
      <c r="X408" s="666"/>
      <c r="Y408" s="666"/>
      <c r="Z408" s="666"/>
      <c r="AA408" s="666"/>
      <c r="AB408" s="666"/>
      <c r="AC408" s="666"/>
    </row>
    <row r="409" spans="1:29" ht="14.25" x14ac:dyDescent="0.3">
      <c r="A409" s="1311"/>
      <c r="B409" s="1253"/>
      <c r="C409" s="1245" t="str">
        <f t="shared" si="78"/>
        <v>SILNIČNÍ osobní doprava</v>
      </c>
      <c r="D409" s="625"/>
      <c r="E409" s="693"/>
      <c r="F409" s="693"/>
      <c r="G409" s="693"/>
      <c r="H409" s="693"/>
      <c r="I409" s="693"/>
      <c r="J409" s="693"/>
      <c r="K409" s="693"/>
      <c r="L409" s="693"/>
      <c r="M409" s="693"/>
      <c r="N409" s="693"/>
      <c r="O409" s="693"/>
      <c r="P409" s="693"/>
      <c r="Q409" s="693"/>
      <c r="R409" s="693"/>
      <c r="S409" s="693"/>
      <c r="T409" s="2081"/>
      <c r="U409" s="666"/>
      <c r="V409" s="666"/>
      <c r="W409" s="666"/>
      <c r="X409" s="666"/>
      <c r="Y409" s="666"/>
      <c r="Z409" s="666"/>
      <c r="AA409" s="666"/>
      <c r="AB409" s="666"/>
      <c r="AC409" s="666"/>
    </row>
    <row r="410" spans="1:29" ht="14.25" x14ac:dyDescent="0.3">
      <c r="A410" s="1311"/>
      <c r="B410" s="1253"/>
      <c r="C410" s="1245" t="str">
        <f t="shared" si="78"/>
        <v>SILNIČNÍ nákladní doprava</v>
      </c>
      <c r="D410" s="625"/>
      <c r="E410" s="693"/>
      <c r="F410" s="693"/>
      <c r="G410" s="693"/>
      <c r="H410" s="693"/>
      <c r="I410" s="693"/>
      <c r="J410" s="693"/>
      <c r="K410" s="693"/>
      <c r="L410" s="693"/>
      <c r="M410" s="693"/>
      <c r="N410" s="693"/>
      <c r="O410" s="693"/>
      <c r="P410" s="693"/>
      <c r="Q410" s="693"/>
      <c r="R410" s="693"/>
      <c r="S410" s="693"/>
      <c r="T410" s="2081"/>
      <c r="U410" s="666"/>
      <c r="V410" s="666"/>
      <c r="W410" s="666"/>
      <c r="X410" s="666"/>
      <c r="Y410" s="666"/>
      <c r="Z410" s="666"/>
      <c r="AA410" s="666"/>
      <c r="AB410" s="666"/>
      <c r="AC410" s="666"/>
    </row>
    <row r="411" spans="1:29" ht="14.25" x14ac:dyDescent="0.3">
      <c r="A411" s="1311"/>
      <c r="B411" s="1253"/>
      <c r="C411" s="1245" t="str">
        <f t="shared" si="78"/>
        <v>VODNÍ nákladní doprava</v>
      </c>
      <c r="D411" s="625"/>
      <c r="E411" s="693"/>
      <c r="F411" s="693"/>
      <c r="G411" s="693"/>
      <c r="H411" s="693"/>
      <c r="I411" s="693"/>
      <c r="J411" s="693"/>
      <c r="K411" s="693"/>
      <c r="L411" s="693"/>
      <c r="M411" s="693"/>
      <c r="N411" s="693"/>
      <c r="O411" s="693"/>
      <c r="P411" s="693"/>
      <c r="Q411" s="693"/>
      <c r="R411" s="693"/>
      <c r="S411" s="693"/>
      <c r="T411" s="2081"/>
      <c r="U411" s="666"/>
      <c r="V411" s="666"/>
      <c r="W411" s="666"/>
      <c r="X411" s="666"/>
      <c r="Y411" s="666"/>
      <c r="Z411" s="666"/>
      <c r="AA411" s="666"/>
      <c r="AB411" s="666"/>
      <c r="AC411" s="666"/>
    </row>
    <row r="412" spans="1:29" ht="14.25" x14ac:dyDescent="0.3">
      <c r="A412" s="1311"/>
      <c r="B412" s="1253"/>
      <c r="C412" s="1245" t="str">
        <f t="shared" si="78"/>
        <v>OSTATNÍ osobní doprava</v>
      </c>
      <c r="D412" s="625"/>
      <c r="E412" s="693"/>
      <c r="F412" s="693"/>
      <c r="G412" s="693"/>
      <c r="H412" s="693"/>
      <c r="I412" s="693"/>
      <c r="J412" s="693"/>
      <c r="K412" s="693"/>
      <c r="L412" s="693"/>
      <c r="M412" s="693"/>
      <c r="N412" s="693"/>
      <c r="O412" s="693"/>
      <c r="P412" s="693"/>
      <c r="Q412" s="693"/>
      <c r="R412" s="693"/>
      <c r="S412" s="693"/>
      <c r="T412" s="2081"/>
      <c r="U412" s="666"/>
      <c r="V412" s="666"/>
      <c r="W412" s="666"/>
      <c r="X412" s="666"/>
      <c r="Y412" s="666"/>
      <c r="Z412" s="666"/>
      <c r="AA412" s="666"/>
      <c r="AB412" s="666"/>
      <c r="AC412" s="666"/>
    </row>
    <row r="413" spans="1:29" ht="15" thickBot="1" x14ac:dyDescent="0.35">
      <c r="A413" s="1311"/>
      <c r="B413" s="1259"/>
      <c r="C413" s="1248" t="str">
        <f t="shared" si="78"/>
        <v>OSTATNÍ nákladní doprava</v>
      </c>
      <c r="D413" s="1249"/>
      <c r="E413" s="693"/>
      <c r="F413" s="693"/>
      <c r="G413" s="693"/>
      <c r="H413" s="693"/>
      <c r="I413" s="693"/>
      <c r="J413" s="693"/>
      <c r="K413" s="693"/>
      <c r="L413" s="693"/>
      <c r="M413" s="693"/>
      <c r="N413" s="693"/>
      <c r="O413" s="693"/>
      <c r="P413" s="693"/>
      <c r="Q413" s="693"/>
      <c r="R413" s="693"/>
      <c r="S413" s="693"/>
      <c r="T413" s="2081"/>
      <c r="U413" s="666"/>
      <c r="V413" s="666"/>
      <c r="W413" s="666"/>
      <c r="X413" s="666"/>
      <c r="Y413" s="666"/>
      <c r="Z413" s="666"/>
      <c r="AA413" s="666"/>
      <c r="AB413" s="666"/>
      <c r="AC413" s="666"/>
    </row>
    <row r="414" spans="1:29" x14ac:dyDescent="0.3">
      <c r="A414" s="1311"/>
      <c r="B414" s="1315"/>
      <c r="C414" s="1316"/>
      <c r="D414" s="1314"/>
      <c r="E414" s="2073"/>
      <c r="F414" s="2073"/>
      <c r="G414" s="2073"/>
      <c r="H414" s="2073"/>
      <c r="I414" s="2073"/>
      <c r="J414" s="2073"/>
      <c r="K414" s="2073"/>
      <c r="L414" s="2073"/>
      <c r="M414" s="2073"/>
      <c r="N414" s="2073"/>
      <c r="O414" s="2073"/>
      <c r="P414" s="2073"/>
      <c r="Q414" s="2073"/>
      <c r="R414" s="2073"/>
      <c r="S414" s="2073"/>
      <c r="T414" s="1310"/>
      <c r="U414" s="666"/>
      <c r="V414" s="666"/>
      <c r="W414" s="666"/>
      <c r="X414" s="666"/>
      <c r="Y414" s="666"/>
      <c r="Z414" s="666"/>
      <c r="AA414" s="666"/>
      <c r="AB414" s="666"/>
      <c r="AC414" s="666"/>
    </row>
    <row r="415" spans="1:29" ht="14.25" thickBot="1" x14ac:dyDescent="0.35">
      <c r="A415" s="1311"/>
      <c r="B415" s="1315"/>
      <c r="C415" s="1316"/>
      <c r="D415" s="1314"/>
      <c r="E415" s="1317"/>
      <c r="F415" s="1317"/>
      <c r="G415" s="1317"/>
      <c r="H415" s="1317"/>
      <c r="I415" s="1317"/>
      <c r="J415" s="1317"/>
      <c r="K415" s="1317"/>
      <c r="L415" s="1317"/>
      <c r="M415" s="1317"/>
      <c r="N415" s="1317"/>
      <c r="O415" s="1317"/>
      <c r="P415" s="1317"/>
      <c r="Q415" s="1317"/>
      <c r="R415" s="1317"/>
      <c r="S415" s="1317"/>
      <c r="T415" s="1310"/>
      <c r="U415" s="666"/>
      <c r="V415" s="666"/>
      <c r="W415" s="666"/>
      <c r="X415" s="666"/>
      <c r="Y415" s="666"/>
      <c r="Z415" s="666"/>
      <c r="AA415" s="666"/>
      <c r="AB415" s="666"/>
      <c r="AC415" s="666"/>
    </row>
    <row r="416" spans="1:29" ht="14.25" x14ac:dyDescent="0.3">
      <c r="A416" s="1311"/>
      <c r="B416" s="1368" t="s">
        <v>156</v>
      </c>
      <c r="C416" s="1254" t="str">
        <f>C395</f>
        <v>Emise škodlivin - t SO2 / rok</v>
      </c>
      <c r="D416" s="947"/>
      <c r="E416" s="2379">
        <f>E395</f>
        <v>2021</v>
      </c>
      <c r="F416" s="2373">
        <f t="shared" ref="F416:S416" si="79">E416+1</f>
        <v>2022</v>
      </c>
      <c r="G416" s="2373">
        <f t="shared" si="79"/>
        <v>2023</v>
      </c>
      <c r="H416" s="2373">
        <f t="shared" si="79"/>
        <v>2024</v>
      </c>
      <c r="I416" s="2373">
        <f t="shared" si="79"/>
        <v>2025</v>
      </c>
      <c r="J416" s="2373">
        <f t="shared" si="79"/>
        <v>2026</v>
      </c>
      <c r="K416" s="2373">
        <f t="shared" si="79"/>
        <v>2027</v>
      </c>
      <c r="L416" s="2373">
        <f t="shared" si="79"/>
        <v>2028</v>
      </c>
      <c r="M416" s="2373">
        <f t="shared" si="79"/>
        <v>2029</v>
      </c>
      <c r="N416" s="2373">
        <f t="shared" si="79"/>
        <v>2030</v>
      </c>
      <c r="O416" s="2373">
        <f t="shared" si="79"/>
        <v>2031</v>
      </c>
      <c r="P416" s="2373">
        <f t="shared" si="79"/>
        <v>2032</v>
      </c>
      <c r="Q416" s="2373">
        <f t="shared" si="79"/>
        <v>2033</v>
      </c>
      <c r="R416" s="2373">
        <f t="shared" si="79"/>
        <v>2034</v>
      </c>
      <c r="S416" s="2367">
        <f t="shared" si="79"/>
        <v>2035</v>
      </c>
      <c r="T416" s="1310"/>
      <c r="U416" s="666"/>
      <c r="V416" s="666"/>
      <c r="W416" s="666"/>
      <c r="X416" s="666"/>
      <c r="Y416" s="666"/>
      <c r="Z416" s="666"/>
      <c r="AA416" s="666"/>
      <c r="AB416" s="666"/>
      <c r="AC416" s="666"/>
    </row>
    <row r="417" spans="1:29" ht="15" thickBot="1" x14ac:dyDescent="0.35">
      <c r="A417" s="1311"/>
      <c r="B417" s="875" t="s">
        <v>23</v>
      </c>
      <c r="C417" s="876" t="str">
        <f>C385</f>
        <v>Scénář bez projektu</v>
      </c>
      <c r="D417" s="635" t="str">
        <f>D396</f>
        <v>Celkem</v>
      </c>
      <c r="E417" s="2380"/>
      <c r="F417" s="2374"/>
      <c r="G417" s="2374"/>
      <c r="H417" s="2374"/>
      <c r="I417" s="2374"/>
      <c r="J417" s="2374"/>
      <c r="K417" s="2374"/>
      <c r="L417" s="2374"/>
      <c r="M417" s="2374"/>
      <c r="N417" s="2374"/>
      <c r="O417" s="2374"/>
      <c r="P417" s="2374"/>
      <c r="Q417" s="2374"/>
      <c r="R417" s="2374"/>
      <c r="S417" s="2368"/>
      <c r="T417" s="1310"/>
      <c r="U417" s="666"/>
      <c r="V417" s="666"/>
      <c r="W417" s="666"/>
      <c r="X417" s="666"/>
      <c r="Y417" s="666"/>
      <c r="Z417" s="666"/>
      <c r="AA417" s="666"/>
      <c r="AB417" s="666"/>
      <c r="AC417" s="666"/>
    </row>
    <row r="418" spans="1:29" ht="14.25" x14ac:dyDescent="0.3">
      <c r="A418" s="1311"/>
      <c r="B418" s="1251"/>
      <c r="C418" s="607" t="str">
        <f>C407</f>
        <v>ŽELEZNIČNÍ osobní doprava</v>
      </c>
      <c r="D418" s="605">
        <f>SUM(E418:S418,E428:S428)</f>
        <v>0</v>
      </c>
      <c r="E418" s="691"/>
      <c r="F418" s="691"/>
      <c r="G418" s="691"/>
      <c r="H418" s="691"/>
      <c r="I418" s="691"/>
      <c r="J418" s="691"/>
      <c r="K418" s="691"/>
      <c r="L418" s="691"/>
      <c r="M418" s="691"/>
      <c r="N418" s="691"/>
      <c r="O418" s="691"/>
      <c r="P418" s="691"/>
      <c r="Q418" s="691"/>
      <c r="R418" s="691"/>
      <c r="S418" s="691"/>
      <c r="T418" s="2081"/>
      <c r="U418" s="666"/>
      <c r="V418" s="666"/>
      <c r="W418" s="666"/>
      <c r="X418" s="666"/>
      <c r="Y418" s="666"/>
      <c r="Z418" s="666"/>
      <c r="AA418" s="666"/>
      <c r="AB418" s="666"/>
      <c r="AC418" s="666"/>
    </row>
    <row r="419" spans="1:29" ht="14.25" x14ac:dyDescent="0.3">
      <c r="A419" s="1311"/>
      <c r="B419" s="1252"/>
      <c r="C419" s="607" t="str">
        <f t="shared" ref="C419:C423" si="80">C408</f>
        <v>ŽELEZNIČNÍ nákladní doprava</v>
      </c>
      <c r="D419" s="608">
        <f t="shared" ref="D419:D424" si="81">SUM(E419:S419,E429:S429)</f>
        <v>0</v>
      </c>
      <c r="E419" s="691"/>
      <c r="F419" s="691"/>
      <c r="G419" s="691"/>
      <c r="H419" s="691"/>
      <c r="I419" s="691"/>
      <c r="J419" s="691"/>
      <c r="K419" s="691"/>
      <c r="L419" s="691"/>
      <c r="M419" s="691"/>
      <c r="N419" s="691"/>
      <c r="O419" s="691"/>
      <c r="P419" s="691"/>
      <c r="Q419" s="691"/>
      <c r="R419" s="691"/>
      <c r="S419" s="691"/>
      <c r="T419" s="2081"/>
      <c r="U419" s="666"/>
      <c r="V419" s="666"/>
      <c r="W419" s="666"/>
      <c r="X419" s="666"/>
      <c r="Y419" s="666"/>
      <c r="Z419" s="666"/>
      <c r="AA419" s="666"/>
      <c r="AB419" s="666"/>
      <c r="AC419" s="666"/>
    </row>
    <row r="420" spans="1:29" ht="14.25" x14ac:dyDescent="0.3">
      <c r="A420" s="1311"/>
      <c r="B420" s="1252"/>
      <c r="C420" s="1245" t="str">
        <f t="shared" si="80"/>
        <v>SILNIČNÍ osobní doprava</v>
      </c>
      <c r="D420" s="608">
        <f t="shared" si="81"/>
        <v>0</v>
      </c>
      <c r="E420" s="691"/>
      <c r="F420" s="691"/>
      <c r="G420" s="691"/>
      <c r="H420" s="691"/>
      <c r="I420" s="691"/>
      <c r="J420" s="691"/>
      <c r="K420" s="691"/>
      <c r="L420" s="691"/>
      <c r="M420" s="691"/>
      <c r="N420" s="691"/>
      <c r="O420" s="691"/>
      <c r="P420" s="691"/>
      <c r="Q420" s="691"/>
      <c r="R420" s="691"/>
      <c r="S420" s="691"/>
      <c r="T420" s="2081"/>
      <c r="U420" s="666"/>
      <c r="V420" s="666"/>
      <c r="W420" s="666"/>
      <c r="X420" s="666"/>
      <c r="Y420" s="666"/>
      <c r="Z420" s="666"/>
      <c r="AA420" s="666"/>
      <c r="AB420" s="666"/>
      <c r="AC420" s="666"/>
    </row>
    <row r="421" spans="1:29" ht="14.25" x14ac:dyDescent="0.3">
      <c r="A421" s="1311"/>
      <c r="B421" s="1252"/>
      <c r="C421" s="1245" t="str">
        <f t="shared" si="80"/>
        <v>SILNIČNÍ nákladní doprava</v>
      </c>
      <c r="D421" s="608">
        <f t="shared" si="81"/>
        <v>0</v>
      </c>
      <c r="E421" s="691"/>
      <c r="F421" s="691"/>
      <c r="G421" s="691"/>
      <c r="H421" s="691"/>
      <c r="I421" s="691"/>
      <c r="J421" s="691"/>
      <c r="K421" s="691"/>
      <c r="L421" s="691"/>
      <c r="M421" s="691"/>
      <c r="N421" s="691"/>
      <c r="O421" s="691"/>
      <c r="P421" s="691"/>
      <c r="Q421" s="691"/>
      <c r="R421" s="691"/>
      <c r="S421" s="691"/>
      <c r="T421" s="2081"/>
      <c r="U421" s="666"/>
      <c r="V421" s="666"/>
      <c r="W421" s="666"/>
      <c r="X421" s="666"/>
      <c r="Y421" s="666"/>
      <c r="Z421" s="666"/>
      <c r="AA421" s="666"/>
      <c r="AB421" s="666"/>
      <c r="AC421" s="666"/>
    </row>
    <row r="422" spans="1:29" ht="14.25" x14ac:dyDescent="0.3">
      <c r="A422" s="1311"/>
      <c r="B422" s="1252"/>
      <c r="C422" s="1245" t="str">
        <f t="shared" si="80"/>
        <v>VODNÍ nákladní doprava</v>
      </c>
      <c r="D422" s="608">
        <f t="shared" si="81"/>
        <v>0</v>
      </c>
      <c r="E422" s="691"/>
      <c r="F422" s="691"/>
      <c r="G422" s="691"/>
      <c r="H422" s="691"/>
      <c r="I422" s="691"/>
      <c r="J422" s="691"/>
      <c r="K422" s="691"/>
      <c r="L422" s="691"/>
      <c r="M422" s="691"/>
      <c r="N422" s="691"/>
      <c r="O422" s="691"/>
      <c r="P422" s="691"/>
      <c r="Q422" s="691"/>
      <c r="R422" s="691"/>
      <c r="S422" s="691"/>
      <c r="T422" s="2081"/>
      <c r="U422" s="666"/>
      <c r="V422" s="666"/>
      <c r="W422" s="666"/>
      <c r="X422" s="666"/>
      <c r="Y422" s="666"/>
      <c r="Z422" s="666"/>
      <c r="AA422" s="666"/>
      <c r="AB422" s="666"/>
      <c r="AC422" s="666"/>
    </row>
    <row r="423" spans="1:29" ht="14.25" x14ac:dyDescent="0.3">
      <c r="A423" s="1311"/>
      <c r="B423" s="1252"/>
      <c r="C423" s="1245" t="str">
        <f t="shared" si="80"/>
        <v>OSTATNÍ osobní doprava</v>
      </c>
      <c r="D423" s="608">
        <f t="shared" si="81"/>
        <v>0</v>
      </c>
      <c r="E423" s="691"/>
      <c r="F423" s="691"/>
      <c r="G423" s="691"/>
      <c r="H423" s="691"/>
      <c r="I423" s="691"/>
      <c r="J423" s="691"/>
      <c r="K423" s="691"/>
      <c r="L423" s="691"/>
      <c r="M423" s="691"/>
      <c r="N423" s="691"/>
      <c r="O423" s="691"/>
      <c r="P423" s="691"/>
      <c r="Q423" s="691"/>
      <c r="R423" s="691"/>
      <c r="S423" s="691"/>
      <c r="T423" s="2081"/>
      <c r="U423" s="666"/>
      <c r="V423" s="666"/>
      <c r="W423" s="666"/>
      <c r="X423" s="666"/>
      <c r="Y423" s="666"/>
      <c r="Z423" s="666"/>
      <c r="AA423" s="666"/>
      <c r="AB423" s="666"/>
      <c r="AC423" s="666"/>
    </row>
    <row r="424" spans="1:29" ht="15" thickBot="1" x14ac:dyDescent="0.35">
      <c r="A424" s="1311"/>
      <c r="B424" s="1258"/>
      <c r="C424" s="1248" t="str">
        <f>C413</f>
        <v>OSTATNÍ nákladní doprava</v>
      </c>
      <c r="D424" s="1250">
        <f t="shared" si="81"/>
        <v>0</v>
      </c>
      <c r="E424" s="691"/>
      <c r="F424" s="691"/>
      <c r="G424" s="691"/>
      <c r="H424" s="691"/>
      <c r="I424" s="691"/>
      <c r="J424" s="691"/>
      <c r="K424" s="691"/>
      <c r="L424" s="691"/>
      <c r="M424" s="691"/>
      <c r="N424" s="691"/>
      <c r="O424" s="691"/>
      <c r="P424" s="691"/>
      <c r="Q424" s="691"/>
      <c r="R424" s="691"/>
      <c r="S424" s="691"/>
      <c r="T424" s="2081"/>
      <c r="U424" s="666"/>
      <c r="V424" s="666"/>
      <c r="W424" s="666"/>
      <c r="X424" s="666"/>
      <c r="Y424" s="666"/>
      <c r="Z424" s="666"/>
      <c r="AA424" s="666"/>
      <c r="AB424" s="666"/>
      <c r="AC424" s="666"/>
    </row>
    <row r="425" spans="1:29" ht="14.25" thickBot="1" x14ac:dyDescent="0.35">
      <c r="A425" s="1311"/>
      <c r="B425" s="1312"/>
      <c r="C425" s="1313"/>
      <c r="D425" s="1314"/>
      <c r="E425" s="2072"/>
      <c r="F425" s="2072"/>
      <c r="G425" s="2072"/>
      <c r="H425" s="2072"/>
      <c r="I425" s="2072"/>
      <c r="J425" s="2072"/>
      <c r="K425" s="2072"/>
      <c r="L425" s="2072"/>
      <c r="M425" s="2072"/>
      <c r="N425" s="2072"/>
      <c r="O425" s="2072"/>
      <c r="P425" s="2072"/>
      <c r="Q425" s="2072"/>
      <c r="R425" s="2072"/>
      <c r="S425" s="2072"/>
      <c r="T425" s="1310"/>
      <c r="U425" s="666"/>
      <c r="V425" s="666"/>
      <c r="W425" s="666"/>
      <c r="X425" s="666"/>
      <c r="Y425" s="666"/>
      <c r="Z425" s="666"/>
      <c r="AA425" s="666"/>
      <c r="AB425" s="666"/>
      <c r="AC425" s="666"/>
    </row>
    <row r="426" spans="1:29" ht="14.25" x14ac:dyDescent="0.3">
      <c r="A426" s="1311"/>
      <c r="B426" s="1368" t="str">
        <f>B416</f>
        <v>6.14.</v>
      </c>
      <c r="C426" s="1254" t="str">
        <f>C405</f>
        <v>Zmírnění změny klimatu - t SO2 / rok</v>
      </c>
      <c r="D426" s="949"/>
      <c r="E426" s="2379">
        <f>S416+1</f>
        <v>2036</v>
      </c>
      <c r="F426" s="2373">
        <f t="shared" ref="F426:S426" si="82">E426+1</f>
        <v>2037</v>
      </c>
      <c r="G426" s="2373">
        <f t="shared" si="82"/>
        <v>2038</v>
      </c>
      <c r="H426" s="2373">
        <f t="shared" si="82"/>
        <v>2039</v>
      </c>
      <c r="I426" s="2373">
        <f t="shared" si="82"/>
        <v>2040</v>
      </c>
      <c r="J426" s="2373">
        <f t="shared" si="82"/>
        <v>2041</v>
      </c>
      <c r="K426" s="2373">
        <f t="shared" si="82"/>
        <v>2042</v>
      </c>
      <c r="L426" s="2373">
        <f t="shared" si="82"/>
        <v>2043</v>
      </c>
      <c r="M426" s="2373">
        <f t="shared" si="82"/>
        <v>2044</v>
      </c>
      <c r="N426" s="2373">
        <f t="shared" si="82"/>
        <v>2045</v>
      </c>
      <c r="O426" s="2373">
        <f t="shared" si="82"/>
        <v>2046</v>
      </c>
      <c r="P426" s="2373">
        <f t="shared" si="82"/>
        <v>2047</v>
      </c>
      <c r="Q426" s="2373">
        <f t="shared" si="82"/>
        <v>2048</v>
      </c>
      <c r="R426" s="2373">
        <f t="shared" si="82"/>
        <v>2049</v>
      </c>
      <c r="S426" s="2367">
        <f t="shared" si="82"/>
        <v>2050</v>
      </c>
      <c r="T426" s="1310"/>
      <c r="U426" s="666"/>
      <c r="V426" s="666"/>
      <c r="W426" s="666"/>
      <c r="X426" s="666"/>
      <c r="Y426" s="666"/>
      <c r="Z426" s="666"/>
      <c r="AA426" s="666"/>
      <c r="AB426" s="666"/>
      <c r="AC426" s="666"/>
    </row>
    <row r="427" spans="1:29" ht="15" thickBot="1" x14ac:dyDescent="0.35">
      <c r="A427" s="1311"/>
      <c r="B427" s="875" t="s">
        <v>24</v>
      </c>
      <c r="C427" s="876" t="str">
        <f>C417</f>
        <v>Scénář bez projektu</v>
      </c>
      <c r="D427" s="1257"/>
      <c r="E427" s="2380"/>
      <c r="F427" s="2374"/>
      <c r="G427" s="2374"/>
      <c r="H427" s="2374"/>
      <c r="I427" s="2374"/>
      <c r="J427" s="2374"/>
      <c r="K427" s="2374"/>
      <c r="L427" s="2374"/>
      <c r="M427" s="2374"/>
      <c r="N427" s="2374"/>
      <c r="O427" s="2374"/>
      <c r="P427" s="2374"/>
      <c r="Q427" s="2374"/>
      <c r="R427" s="2374"/>
      <c r="S427" s="2368"/>
      <c r="T427" s="1310"/>
      <c r="U427" s="666"/>
      <c r="V427" s="666"/>
      <c r="W427" s="666"/>
      <c r="X427" s="666"/>
      <c r="Y427" s="666"/>
      <c r="Z427" s="666"/>
      <c r="AA427" s="666"/>
      <c r="AB427" s="666"/>
      <c r="AC427" s="666"/>
    </row>
    <row r="428" spans="1:29" ht="14.25" x14ac:dyDescent="0.3">
      <c r="A428" s="1311"/>
      <c r="B428" s="1251"/>
      <c r="C428" s="607" t="str">
        <f>C418</f>
        <v>ŽELEZNIČNÍ osobní doprava</v>
      </c>
      <c r="D428" s="912"/>
      <c r="E428" s="691"/>
      <c r="F428" s="693"/>
      <c r="G428" s="693"/>
      <c r="H428" s="693"/>
      <c r="I428" s="693"/>
      <c r="J428" s="693"/>
      <c r="K428" s="693"/>
      <c r="L428" s="693"/>
      <c r="M428" s="693"/>
      <c r="N428" s="693"/>
      <c r="O428" s="693"/>
      <c r="P428" s="693"/>
      <c r="Q428" s="693"/>
      <c r="R428" s="693"/>
      <c r="S428" s="693"/>
      <c r="T428" s="2081"/>
      <c r="U428" s="666"/>
      <c r="V428" s="666"/>
      <c r="W428" s="666"/>
      <c r="X428" s="666"/>
      <c r="Y428" s="666"/>
      <c r="Z428" s="666"/>
      <c r="AA428" s="666"/>
      <c r="AB428" s="666"/>
      <c r="AC428" s="666"/>
    </row>
    <row r="429" spans="1:29" ht="14.25" x14ac:dyDescent="0.3">
      <c r="A429" s="1311"/>
      <c r="B429" s="1253"/>
      <c r="C429" s="607" t="str">
        <f t="shared" ref="C429:C434" si="83">C419</f>
        <v>ŽELEZNIČNÍ nákladní doprava</v>
      </c>
      <c r="D429" s="625"/>
      <c r="E429" s="693"/>
      <c r="F429" s="693"/>
      <c r="G429" s="693"/>
      <c r="H429" s="693"/>
      <c r="I429" s="693"/>
      <c r="J429" s="693"/>
      <c r="K429" s="693"/>
      <c r="L429" s="693"/>
      <c r="M429" s="693"/>
      <c r="N429" s="693"/>
      <c r="O429" s="693"/>
      <c r="P429" s="693"/>
      <c r="Q429" s="693"/>
      <c r="R429" s="693"/>
      <c r="S429" s="693"/>
      <c r="T429" s="2081"/>
      <c r="U429" s="666"/>
      <c r="V429" s="666"/>
      <c r="W429" s="666"/>
      <c r="X429" s="666"/>
      <c r="Y429" s="666"/>
      <c r="Z429" s="666"/>
      <c r="AA429" s="666"/>
      <c r="AB429" s="666"/>
      <c r="AC429" s="666"/>
    </row>
    <row r="430" spans="1:29" ht="14.25" x14ac:dyDescent="0.3">
      <c r="A430" s="1311"/>
      <c r="B430" s="1253"/>
      <c r="C430" s="1245" t="str">
        <f t="shared" si="83"/>
        <v>SILNIČNÍ osobní doprava</v>
      </c>
      <c r="D430" s="625"/>
      <c r="E430" s="693"/>
      <c r="F430" s="693"/>
      <c r="G430" s="693"/>
      <c r="H430" s="693"/>
      <c r="I430" s="693"/>
      <c r="J430" s="693"/>
      <c r="K430" s="693"/>
      <c r="L430" s="693"/>
      <c r="M430" s="693"/>
      <c r="N430" s="693"/>
      <c r="O430" s="693"/>
      <c r="P430" s="693"/>
      <c r="Q430" s="693"/>
      <c r="R430" s="693"/>
      <c r="S430" s="693"/>
      <c r="T430" s="2081"/>
      <c r="U430" s="666"/>
      <c r="V430" s="666"/>
      <c r="W430" s="666"/>
      <c r="X430" s="666"/>
      <c r="Y430" s="666"/>
      <c r="Z430" s="666"/>
      <c r="AA430" s="666"/>
      <c r="AB430" s="666"/>
      <c r="AC430" s="666"/>
    </row>
    <row r="431" spans="1:29" ht="14.25" x14ac:dyDescent="0.3">
      <c r="A431" s="1311"/>
      <c r="B431" s="1253"/>
      <c r="C431" s="1245" t="str">
        <f t="shared" si="83"/>
        <v>SILNIČNÍ nákladní doprava</v>
      </c>
      <c r="D431" s="625"/>
      <c r="E431" s="693"/>
      <c r="F431" s="693"/>
      <c r="G431" s="693"/>
      <c r="H431" s="693"/>
      <c r="I431" s="693"/>
      <c r="J431" s="693"/>
      <c r="K431" s="693"/>
      <c r="L431" s="693"/>
      <c r="M431" s="693"/>
      <c r="N431" s="693"/>
      <c r="O431" s="693"/>
      <c r="P431" s="693"/>
      <c r="Q431" s="693"/>
      <c r="R431" s="693"/>
      <c r="S431" s="693"/>
      <c r="T431" s="2081"/>
      <c r="U431" s="666"/>
      <c r="V431" s="666"/>
      <c r="W431" s="666"/>
      <c r="X431" s="666"/>
      <c r="Y431" s="666"/>
      <c r="Z431" s="666"/>
      <c r="AA431" s="666"/>
      <c r="AB431" s="666"/>
      <c r="AC431" s="666"/>
    </row>
    <row r="432" spans="1:29" ht="14.25" x14ac:dyDescent="0.3">
      <c r="A432" s="1311"/>
      <c r="B432" s="1253"/>
      <c r="C432" s="1245" t="str">
        <f t="shared" si="83"/>
        <v>VODNÍ nákladní doprava</v>
      </c>
      <c r="D432" s="625"/>
      <c r="E432" s="693"/>
      <c r="F432" s="693"/>
      <c r="G432" s="693"/>
      <c r="H432" s="693"/>
      <c r="I432" s="693"/>
      <c r="J432" s="693"/>
      <c r="K432" s="693"/>
      <c r="L432" s="693"/>
      <c r="M432" s="693"/>
      <c r="N432" s="693"/>
      <c r="O432" s="693"/>
      <c r="P432" s="693"/>
      <c r="Q432" s="693"/>
      <c r="R432" s="693"/>
      <c r="S432" s="693"/>
      <c r="T432" s="2081"/>
      <c r="U432" s="666"/>
      <c r="V432" s="666"/>
      <c r="W432" s="666"/>
      <c r="X432" s="666"/>
      <c r="Y432" s="666"/>
      <c r="Z432" s="666"/>
      <c r="AA432" s="666"/>
      <c r="AB432" s="666"/>
      <c r="AC432" s="666"/>
    </row>
    <row r="433" spans="1:29" ht="14.25" x14ac:dyDescent="0.3">
      <c r="A433" s="1311"/>
      <c r="B433" s="1253"/>
      <c r="C433" s="1245" t="str">
        <f t="shared" si="83"/>
        <v>OSTATNÍ osobní doprava</v>
      </c>
      <c r="D433" s="625"/>
      <c r="E433" s="693"/>
      <c r="F433" s="693"/>
      <c r="G433" s="693"/>
      <c r="H433" s="693"/>
      <c r="I433" s="693"/>
      <c r="J433" s="693"/>
      <c r="K433" s="693"/>
      <c r="L433" s="693"/>
      <c r="M433" s="693"/>
      <c r="N433" s="693"/>
      <c r="O433" s="693"/>
      <c r="P433" s="693"/>
      <c r="Q433" s="693"/>
      <c r="R433" s="693"/>
      <c r="S433" s="693"/>
      <c r="T433" s="2081"/>
      <c r="U433" s="666"/>
      <c r="V433" s="666"/>
      <c r="W433" s="666"/>
      <c r="X433" s="666"/>
      <c r="Y433" s="666"/>
      <c r="Z433" s="666"/>
      <c r="AA433" s="666"/>
      <c r="AB433" s="666"/>
      <c r="AC433" s="666"/>
    </row>
    <row r="434" spans="1:29" ht="15" thickBot="1" x14ac:dyDescent="0.35">
      <c r="A434" s="1311"/>
      <c r="B434" s="1259"/>
      <c r="C434" s="1248" t="str">
        <f t="shared" si="83"/>
        <v>OSTATNÍ nákladní doprava</v>
      </c>
      <c r="D434" s="1249"/>
      <c r="E434" s="693"/>
      <c r="F434" s="693"/>
      <c r="G434" s="693"/>
      <c r="H434" s="693"/>
      <c r="I434" s="693"/>
      <c r="J434" s="693"/>
      <c r="K434" s="693"/>
      <c r="L434" s="693"/>
      <c r="M434" s="693"/>
      <c r="N434" s="693"/>
      <c r="O434" s="693"/>
      <c r="P434" s="693"/>
      <c r="Q434" s="693"/>
      <c r="R434" s="693"/>
      <c r="S434" s="693"/>
      <c r="T434" s="2081"/>
      <c r="U434" s="666"/>
      <c r="V434" s="666"/>
      <c r="W434" s="666"/>
      <c r="X434" s="666"/>
      <c r="Y434" s="666"/>
      <c r="Z434" s="666"/>
      <c r="AA434" s="666"/>
      <c r="AB434" s="666"/>
      <c r="AC434" s="666"/>
    </row>
    <row r="435" spans="1:29" ht="14.25" thickBot="1" x14ac:dyDescent="0.35">
      <c r="A435" s="1311"/>
      <c r="B435" s="1315"/>
      <c r="C435" s="1316"/>
      <c r="D435" s="1314"/>
      <c r="E435" s="2073"/>
      <c r="F435" s="2073"/>
      <c r="G435" s="2073"/>
      <c r="H435" s="2073"/>
      <c r="I435" s="2073"/>
      <c r="J435" s="2073"/>
      <c r="K435" s="2073"/>
      <c r="L435" s="2073"/>
      <c r="M435" s="2073"/>
      <c r="N435" s="2073"/>
      <c r="O435" s="2073"/>
      <c r="P435" s="2073"/>
      <c r="Q435" s="2073"/>
      <c r="R435" s="2073"/>
      <c r="S435" s="2073"/>
      <c r="T435" s="1310"/>
      <c r="U435" s="666"/>
      <c r="V435" s="666"/>
      <c r="W435" s="666"/>
      <c r="X435" s="666"/>
      <c r="Y435" s="666"/>
      <c r="Z435" s="666"/>
      <c r="AA435" s="666"/>
      <c r="AB435" s="666"/>
      <c r="AC435" s="666"/>
    </row>
    <row r="436" spans="1:29" ht="14.25" thickBot="1" x14ac:dyDescent="0.35">
      <c r="A436" s="1318"/>
      <c r="B436" s="1319"/>
      <c r="C436" s="1320"/>
      <c r="D436" s="1321"/>
      <c r="E436" s="1322"/>
      <c r="F436" s="1322"/>
      <c r="G436" s="1322"/>
      <c r="H436" s="1322"/>
      <c r="I436" s="1322"/>
      <c r="J436" s="1322"/>
      <c r="K436" s="1322"/>
      <c r="L436" s="1322"/>
      <c r="M436" s="1322"/>
      <c r="N436" s="1322"/>
      <c r="O436" s="1322"/>
      <c r="P436" s="1322"/>
      <c r="Q436" s="1322"/>
      <c r="R436" s="1322"/>
      <c r="S436" s="1322"/>
      <c r="T436" s="1323"/>
      <c r="U436" s="666"/>
      <c r="V436" s="666"/>
      <c r="W436" s="666"/>
      <c r="X436" s="666"/>
      <c r="Y436" s="666"/>
      <c r="Z436" s="666"/>
      <c r="AA436" s="666"/>
      <c r="AB436" s="666"/>
      <c r="AC436" s="666"/>
    </row>
    <row r="437" spans="1:29" ht="14.25" x14ac:dyDescent="0.3">
      <c r="A437" s="1325"/>
      <c r="B437" s="1156" t="s">
        <v>203</v>
      </c>
      <c r="C437" s="897" t="str">
        <f>IF('0 Úvod'!$M$10="English",Slovnik!$D$383,Slovnik!$C$383)</f>
        <v>Emise škodlivin - t PM2,5 / rok</v>
      </c>
      <c r="D437" s="898"/>
      <c r="E437" s="2363">
        <f>E395</f>
        <v>2021</v>
      </c>
      <c r="F437" s="2361">
        <f t="shared" ref="F437:S437" si="84">E437+1</f>
        <v>2022</v>
      </c>
      <c r="G437" s="2361">
        <f t="shared" si="84"/>
        <v>2023</v>
      </c>
      <c r="H437" s="2361">
        <f t="shared" si="84"/>
        <v>2024</v>
      </c>
      <c r="I437" s="2361">
        <f t="shared" si="84"/>
        <v>2025</v>
      </c>
      <c r="J437" s="2361">
        <f t="shared" si="84"/>
        <v>2026</v>
      </c>
      <c r="K437" s="2361">
        <f t="shared" si="84"/>
        <v>2027</v>
      </c>
      <c r="L437" s="2361">
        <f t="shared" si="84"/>
        <v>2028</v>
      </c>
      <c r="M437" s="2361">
        <f t="shared" si="84"/>
        <v>2029</v>
      </c>
      <c r="N437" s="2361">
        <f t="shared" si="84"/>
        <v>2030</v>
      </c>
      <c r="O437" s="2361">
        <f t="shared" si="84"/>
        <v>2031</v>
      </c>
      <c r="P437" s="2361">
        <f t="shared" si="84"/>
        <v>2032</v>
      </c>
      <c r="Q437" s="2361">
        <f t="shared" si="84"/>
        <v>2033</v>
      </c>
      <c r="R437" s="2361">
        <f t="shared" si="84"/>
        <v>2034</v>
      </c>
      <c r="S437" s="2365">
        <f t="shared" si="84"/>
        <v>2035</v>
      </c>
      <c r="T437" s="1324"/>
      <c r="U437" s="666"/>
      <c r="V437" s="666"/>
      <c r="W437" s="666"/>
      <c r="X437" s="666"/>
      <c r="Y437" s="666"/>
      <c r="Z437" s="666"/>
      <c r="AA437" s="666"/>
      <c r="AB437" s="666"/>
      <c r="AC437" s="666"/>
    </row>
    <row r="438" spans="1:29" ht="15" thickBot="1" x14ac:dyDescent="0.35">
      <c r="A438" s="1325"/>
      <c r="B438" s="694" t="s">
        <v>23</v>
      </c>
      <c r="C438" s="840" t="str">
        <f>C406</f>
        <v>Scénář s projektem</v>
      </c>
      <c r="D438" s="696" t="str">
        <f>D417</f>
        <v>Celkem</v>
      </c>
      <c r="E438" s="2364"/>
      <c r="F438" s="2362"/>
      <c r="G438" s="2362"/>
      <c r="H438" s="2362"/>
      <c r="I438" s="2362"/>
      <c r="J438" s="2362"/>
      <c r="K438" s="2362"/>
      <c r="L438" s="2362"/>
      <c r="M438" s="2362"/>
      <c r="N438" s="2362"/>
      <c r="O438" s="2362"/>
      <c r="P438" s="2362"/>
      <c r="Q438" s="2362"/>
      <c r="R438" s="2362"/>
      <c r="S438" s="2366"/>
      <c r="T438" s="1324"/>
      <c r="U438" s="666"/>
      <c r="V438" s="666"/>
      <c r="W438" s="666"/>
      <c r="X438" s="666"/>
      <c r="Y438" s="666"/>
      <c r="Z438" s="666"/>
      <c r="AA438" s="666"/>
      <c r="AB438" s="666"/>
      <c r="AC438" s="666"/>
    </row>
    <row r="439" spans="1:29" ht="14.25" x14ac:dyDescent="0.3">
      <c r="A439" s="1325"/>
      <c r="B439" s="1251"/>
      <c r="C439" s="607" t="str">
        <f>C428</f>
        <v>ŽELEZNIČNÍ osobní doprava</v>
      </c>
      <c r="D439" s="605">
        <f>SUM(E439:S439,E449:S449)</f>
        <v>0</v>
      </c>
      <c r="E439" s="691"/>
      <c r="F439" s="691"/>
      <c r="G439" s="691"/>
      <c r="H439" s="691"/>
      <c r="I439" s="691"/>
      <c r="J439" s="691"/>
      <c r="K439" s="691"/>
      <c r="L439" s="691"/>
      <c r="M439" s="691"/>
      <c r="N439" s="691"/>
      <c r="O439" s="691"/>
      <c r="P439" s="691"/>
      <c r="Q439" s="691"/>
      <c r="R439" s="691"/>
      <c r="S439" s="691"/>
      <c r="T439" s="2082"/>
      <c r="U439" s="666"/>
      <c r="V439" s="666"/>
      <c r="W439" s="666"/>
      <c r="X439" s="666"/>
      <c r="Y439" s="666"/>
      <c r="Z439" s="666"/>
      <c r="AA439" s="666"/>
      <c r="AB439" s="666"/>
      <c r="AC439" s="666"/>
    </row>
    <row r="440" spans="1:29" ht="14.25" x14ac:dyDescent="0.3">
      <c r="A440" s="1325"/>
      <c r="B440" s="1252"/>
      <c r="C440" s="607" t="str">
        <f t="shared" ref="C440:C445" si="85">C429</f>
        <v>ŽELEZNIČNÍ nákladní doprava</v>
      </c>
      <c r="D440" s="608">
        <f t="shared" ref="D440:D445" si="86">SUM(E440:S440,E450:S450)</f>
        <v>0</v>
      </c>
      <c r="E440" s="691"/>
      <c r="F440" s="691"/>
      <c r="G440" s="691"/>
      <c r="H440" s="691"/>
      <c r="I440" s="691"/>
      <c r="J440" s="691"/>
      <c r="K440" s="691"/>
      <c r="L440" s="691"/>
      <c r="M440" s="691"/>
      <c r="N440" s="691"/>
      <c r="O440" s="691"/>
      <c r="P440" s="691"/>
      <c r="Q440" s="691"/>
      <c r="R440" s="691"/>
      <c r="S440" s="691"/>
      <c r="T440" s="2082"/>
      <c r="U440" s="666"/>
      <c r="V440" s="666"/>
      <c r="W440" s="666"/>
      <c r="X440" s="666"/>
      <c r="Y440" s="666"/>
      <c r="Z440" s="666"/>
      <c r="AA440" s="666"/>
      <c r="AB440" s="666"/>
      <c r="AC440" s="666"/>
    </row>
    <row r="441" spans="1:29" ht="14.25" x14ac:dyDescent="0.3">
      <c r="A441" s="1325"/>
      <c r="B441" s="1252"/>
      <c r="C441" s="1245" t="str">
        <f t="shared" si="85"/>
        <v>SILNIČNÍ osobní doprava</v>
      </c>
      <c r="D441" s="608">
        <f t="shared" si="86"/>
        <v>0</v>
      </c>
      <c r="E441" s="691"/>
      <c r="F441" s="691"/>
      <c r="G441" s="691"/>
      <c r="H441" s="691"/>
      <c r="I441" s="691"/>
      <c r="J441" s="691"/>
      <c r="K441" s="691"/>
      <c r="L441" s="691"/>
      <c r="M441" s="691"/>
      <c r="N441" s="691"/>
      <c r="O441" s="691"/>
      <c r="P441" s="691"/>
      <c r="Q441" s="691"/>
      <c r="R441" s="691"/>
      <c r="S441" s="691"/>
      <c r="T441" s="2082"/>
      <c r="U441" s="666"/>
      <c r="V441" s="666"/>
      <c r="W441" s="666"/>
      <c r="X441" s="666"/>
      <c r="Y441" s="666"/>
      <c r="Z441" s="666"/>
      <c r="AA441" s="666"/>
      <c r="AB441" s="666"/>
      <c r="AC441" s="666"/>
    </row>
    <row r="442" spans="1:29" ht="14.25" x14ac:dyDescent="0.3">
      <c r="A442" s="1325"/>
      <c r="B442" s="1252"/>
      <c r="C442" s="1245" t="str">
        <f t="shared" si="85"/>
        <v>SILNIČNÍ nákladní doprava</v>
      </c>
      <c r="D442" s="608">
        <f t="shared" si="86"/>
        <v>0</v>
      </c>
      <c r="E442" s="691"/>
      <c r="F442" s="691"/>
      <c r="G442" s="691"/>
      <c r="H442" s="691"/>
      <c r="I442" s="691"/>
      <c r="J442" s="691"/>
      <c r="K442" s="691"/>
      <c r="L442" s="691"/>
      <c r="M442" s="691"/>
      <c r="N442" s="691"/>
      <c r="O442" s="691"/>
      <c r="P442" s="691"/>
      <c r="Q442" s="691"/>
      <c r="R442" s="691"/>
      <c r="S442" s="691"/>
      <c r="T442" s="2082"/>
      <c r="U442" s="666"/>
      <c r="V442" s="666"/>
      <c r="W442" s="666"/>
      <c r="X442" s="666"/>
      <c r="Y442" s="666"/>
      <c r="Z442" s="666"/>
      <c r="AA442" s="666"/>
      <c r="AB442" s="666"/>
      <c r="AC442" s="666"/>
    </row>
    <row r="443" spans="1:29" ht="14.25" x14ac:dyDescent="0.3">
      <c r="A443" s="1325"/>
      <c r="B443" s="1252"/>
      <c r="C443" s="1245" t="str">
        <f t="shared" si="85"/>
        <v>VODNÍ nákladní doprava</v>
      </c>
      <c r="D443" s="608">
        <f t="shared" si="86"/>
        <v>0</v>
      </c>
      <c r="E443" s="691"/>
      <c r="F443" s="691"/>
      <c r="G443" s="691"/>
      <c r="H443" s="691"/>
      <c r="I443" s="691"/>
      <c r="J443" s="691"/>
      <c r="K443" s="691"/>
      <c r="L443" s="691"/>
      <c r="M443" s="691"/>
      <c r="N443" s="691"/>
      <c r="O443" s="691"/>
      <c r="P443" s="691"/>
      <c r="Q443" s="691"/>
      <c r="R443" s="691"/>
      <c r="S443" s="691"/>
      <c r="T443" s="2082"/>
      <c r="U443" s="666"/>
      <c r="V443" s="666"/>
      <c r="W443" s="666"/>
      <c r="X443" s="666"/>
      <c r="Y443" s="666"/>
      <c r="Z443" s="666"/>
      <c r="AA443" s="666"/>
      <c r="AB443" s="666"/>
      <c r="AC443" s="666"/>
    </row>
    <row r="444" spans="1:29" ht="14.25" x14ac:dyDescent="0.3">
      <c r="A444" s="1325"/>
      <c r="B444" s="1252"/>
      <c r="C444" s="1245" t="str">
        <f t="shared" si="85"/>
        <v>OSTATNÍ osobní doprava</v>
      </c>
      <c r="D444" s="608">
        <f t="shared" si="86"/>
        <v>0</v>
      </c>
      <c r="E444" s="691"/>
      <c r="F444" s="691"/>
      <c r="G444" s="691"/>
      <c r="H444" s="691"/>
      <c r="I444" s="691"/>
      <c r="J444" s="691"/>
      <c r="K444" s="691"/>
      <c r="L444" s="691"/>
      <c r="M444" s="691"/>
      <c r="N444" s="691"/>
      <c r="O444" s="691"/>
      <c r="P444" s="691"/>
      <c r="Q444" s="691"/>
      <c r="R444" s="691"/>
      <c r="S444" s="691"/>
      <c r="T444" s="2082"/>
      <c r="U444" s="666"/>
      <c r="V444" s="666"/>
      <c r="W444" s="666"/>
      <c r="X444" s="666"/>
      <c r="Y444" s="666"/>
      <c r="Z444" s="666"/>
      <c r="AA444" s="666"/>
      <c r="AB444" s="666"/>
      <c r="AC444" s="666"/>
    </row>
    <row r="445" spans="1:29" ht="15" thickBot="1" x14ac:dyDescent="0.35">
      <c r="A445" s="1325"/>
      <c r="B445" s="1258"/>
      <c r="C445" s="1248" t="str">
        <f t="shared" si="85"/>
        <v>OSTATNÍ nákladní doprava</v>
      </c>
      <c r="D445" s="1250">
        <f t="shared" si="86"/>
        <v>0</v>
      </c>
      <c r="E445" s="691"/>
      <c r="F445" s="691"/>
      <c r="G445" s="691"/>
      <c r="H445" s="691"/>
      <c r="I445" s="691"/>
      <c r="J445" s="691"/>
      <c r="K445" s="691"/>
      <c r="L445" s="691"/>
      <c r="M445" s="691"/>
      <c r="N445" s="691"/>
      <c r="O445" s="691"/>
      <c r="P445" s="691"/>
      <c r="Q445" s="691"/>
      <c r="R445" s="691"/>
      <c r="S445" s="691"/>
      <c r="T445" s="2082"/>
      <c r="U445" s="666"/>
      <c r="V445" s="666"/>
      <c r="W445" s="666"/>
      <c r="X445" s="666"/>
      <c r="Y445" s="666"/>
      <c r="Z445" s="666"/>
      <c r="AA445" s="666"/>
      <c r="AB445" s="666"/>
      <c r="AC445" s="666"/>
    </row>
    <row r="446" spans="1:29" ht="14.25" thickBot="1" x14ac:dyDescent="0.35">
      <c r="A446" s="1325"/>
      <c r="B446" s="1326"/>
      <c r="C446" s="1327"/>
      <c r="D446" s="1328"/>
      <c r="E446" s="2074"/>
      <c r="F446" s="2074"/>
      <c r="G446" s="2074"/>
      <c r="H446" s="2074"/>
      <c r="I446" s="2074"/>
      <c r="J446" s="2074"/>
      <c r="K446" s="2074"/>
      <c r="L446" s="2074"/>
      <c r="M446" s="2074"/>
      <c r="N446" s="2074"/>
      <c r="O446" s="2074"/>
      <c r="P446" s="2074"/>
      <c r="Q446" s="2074"/>
      <c r="R446" s="2074"/>
      <c r="S446" s="2074"/>
      <c r="T446" s="1324"/>
      <c r="U446" s="666"/>
      <c r="V446" s="666"/>
      <c r="W446" s="666"/>
      <c r="X446" s="666"/>
      <c r="Y446" s="666"/>
      <c r="Z446" s="666"/>
      <c r="AA446" s="666"/>
      <c r="AB446" s="666"/>
      <c r="AC446" s="666"/>
    </row>
    <row r="447" spans="1:29" ht="14.25" x14ac:dyDescent="0.3">
      <c r="A447" s="1325"/>
      <c r="B447" s="1156" t="str">
        <f>B437</f>
        <v>6.15.</v>
      </c>
      <c r="C447" s="897" t="str">
        <f>IF('0 Úvod'!$M$10="English",Slovnik!$D$384,Slovnik!$C$384)</f>
        <v>Zmírnění změny klimatu - t PM2,5 / rok</v>
      </c>
      <c r="D447" s="899"/>
      <c r="E447" s="2363">
        <f>S437+1</f>
        <v>2036</v>
      </c>
      <c r="F447" s="2361">
        <f t="shared" ref="F447:S447" si="87">E447+1</f>
        <v>2037</v>
      </c>
      <c r="G447" s="2361">
        <f t="shared" si="87"/>
        <v>2038</v>
      </c>
      <c r="H447" s="2361">
        <f t="shared" si="87"/>
        <v>2039</v>
      </c>
      <c r="I447" s="2361">
        <f t="shared" si="87"/>
        <v>2040</v>
      </c>
      <c r="J447" s="2361">
        <f t="shared" si="87"/>
        <v>2041</v>
      </c>
      <c r="K447" s="2361">
        <f t="shared" si="87"/>
        <v>2042</v>
      </c>
      <c r="L447" s="2361">
        <f t="shared" si="87"/>
        <v>2043</v>
      </c>
      <c r="M447" s="2361">
        <f t="shared" si="87"/>
        <v>2044</v>
      </c>
      <c r="N447" s="2361">
        <f t="shared" si="87"/>
        <v>2045</v>
      </c>
      <c r="O447" s="2361">
        <f t="shared" si="87"/>
        <v>2046</v>
      </c>
      <c r="P447" s="2361">
        <f t="shared" si="87"/>
        <v>2047</v>
      </c>
      <c r="Q447" s="2361">
        <f t="shared" si="87"/>
        <v>2048</v>
      </c>
      <c r="R447" s="2361">
        <f t="shared" si="87"/>
        <v>2049</v>
      </c>
      <c r="S447" s="2365">
        <f t="shared" si="87"/>
        <v>2050</v>
      </c>
      <c r="T447" s="1324"/>
      <c r="U447" s="666"/>
      <c r="V447" s="666"/>
      <c r="W447" s="666"/>
      <c r="X447" s="666"/>
      <c r="Y447" s="666"/>
      <c r="Z447" s="666"/>
      <c r="AA447" s="666"/>
      <c r="AB447" s="666"/>
      <c r="AC447" s="666"/>
    </row>
    <row r="448" spans="1:29" ht="15" thickBot="1" x14ac:dyDescent="0.35">
      <c r="A448" s="1325"/>
      <c r="B448" s="694" t="s">
        <v>24</v>
      </c>
      <c r="C448" s="840" t="str">
        <f>C438</f>
        <v>Scénář s projektem</v>
      </c>
      <c r="D448" s="1256"/>
      <c r="E448" s="2364"/>
      <c r="F448" s="2362"/>
      <c r="G448" s="2362"/>
      <c r="H448" s="2362"/>
      <c r="I448" s="2362"/>
      <c r="J448" s="2362"/>
      <c r="K448" s="2362"/>
      <c r="L448" s="2362"/>
      <c r="M448" s="2362"/>
      <c r="N448" s="2362"/>
      <c r="O448" s="2362"/>
      <c r="P448" s="2362"/>
      <c r="Q448" s="2362"/>
      <c r="R448" s="2362"/>
      <c r="S448" s="2366"/>
      <c r="T448" s="1324"/>
      <c r="U448" s="666"/>
      <c r="V448" s="666"/>
      <c r="W448" s="666"/>
      <c r="X448" s="666"/>
      <c r="Y448" s="666"/>
      <c r="Z448" s="666"/>
      <c r="AA448" s="666"/>
      <c r="AB448" s="666"/>
      <c r="AC448" s="666"/>
    </row>
    <row r="449" spans="1:29" ht="14.25" x14ac:dyDescent="0.3">
      <c r="A449" s="1325"/>
      <c r="B449" s="1251"/>
      <c r="C449" s="607" t="str">
        <f>C439</f>
        <v>ŽELEZNIČNÍ osobní doprava</v>
      </c>
      <c r="D449" s="912"/>
      <c r="E449" s="691"/>
      <c r="F449" s="693"/>
      <c r="G449" s="693"/>
      <c r="H449" s="693"/>
      <c r="I449" s="693"/>
      <c r="J449" s="693"/>
      <c r="K449" s="693"/>
      <c r="L449" s="693"/>
      <c r="M449" s="693"/>
      <c r="N449" s="693"/>
      <c r="O449" s="693"/>
      <c r="P449" s="693"/>
      <c r="Q449" s="693"/>
      <c r="R449" s="693"/>
      <c r="S449" s="693"/>
      <c r="T449" s="2082"/>
      <c r="U449" s="666"/>
      <c r="V449" s="666"/>
      <c r="W449" s="666"/>
      <c r="X449" s="666"/>
      <c r="Y449" s="666"/>
      <c r="Z449" s="666"/>
      <c r="AA449" s="666"/>
      <c r="AB449" s="666"/>
      <c r="AC449" s="666"/>
    </row>
    <row r="450" spans="1:29" ht="14.25" x14ac:dyDescent="0.3">
      <c r="A450" s="1325"/>
      <c r="B450" s="1253"/>
      <c r="C450" s="607" t="str">
        <f t="shared" ref="C450:C455" si="88">C440</f>
        <v>ŽELEZNIČNÍ nákladní doprava</v>
      </c>
      <c r="D450" s="625"/>
      <c r="E450" s="693"/>
      <c r="F450" s="693"/>
      <c r="G450" s="693"/>
      <c r="H450" s="693"/>
      <c r="I450" s="693"/>
      <c r="J450" s="693"/>
      <c r="K450" s="693"/>
      <c r="L450" s="693"/>
      <c r="M450" s="693"/>
      <c r="N450" s="693"/>
      <c r="O450" s="693"/>
      <c r="P450" s="693"/>
      <c r="Q450" s="693"/>
      <c r="R450" s="693"/>
      <c r="S450" s="693"/>
      <c r="T450" s="2082"/>
      <c r="U450" s="666"/>
      <c r="V450" s="666"/>
      <c r="W450" s="666"/>
      <c r="X450" s="666"/>
      <c r="Y450" s="666"/>
      <c r="Z450" s="666"/>
      <c r="AA450" s="666"/>
      <c r="AB450" s="666"/>
      <c r="AC450" s="666"/>
    </row>
    <row r="451" spans="1:29" ht="14.25" x14ac:dyDescent="0.3">
      <c r="A451" s="1325"/>
      <c r="B451" s="1253"/>
      <c r="C451" s="1245" t="str">
        <f t="shared" si="88"/>
        <v>SILNIČNÍ osobní doprava</v>
      </c>
      <c r="D451" s="625"/>
      <c r="E451" s="693"/>
      <c r="F451" s="693"/>
      <c r="G451" s="693"/>
      <c r="H451" s="693"/>
      <c r="I451" s="693"/>
      <c r="J451" s="693"/>
      <c r="K451" s="693"/>
      <c r="L451" s="693"/>
      <c r="M451" s="693"/>
      <c r="N451" s="693"/>
      <c r="O451" s="693"/>
      <c r="P451" s="693"/>
      <c r="Q451" s="693"/>
      <c r="R451" s="693"/>
      <c r="S451" s="693"/>
      <c r="T451" s="2082"/>
      <c r="U451" s="666"/>
      <c r="V451" s="666"/>
      <c r="W451" s="666"/>
      <c r="X451" s="666"/>
      <c r="Y451" s="666"/>
      <c r="Z451" s="666"/>
      <c r="AA451" s="666"/>
      <c r="AB451" s="666"/>
      <c r="AC451" s="666"/>
    </row>
    <row r="452" spans="1:29" ht="14.25" x14ac:dyDescent="0.3">
      <c r="A452" s="1325"/>
      <c r="B452" s="1253"/>
      <c r="C452" s="1245" t="str">
        <f t="shared" si="88"/>
        <v>SILNIČNÍ nákladní doprava</v>
      </c>
      <c r="D452" s="625"/>
      <c r="E452" s="693"/>
      <c r="F452" s="693"/>
      <c r="G452" s="693"/>
      <c r="H452" s="693"/>
      <c r="I452" s="693"/>
      <c r="J452" s="693"/>
      <c r="K452" s="693"/>
      <c r="L452" s="693"/>
      <c r="M452" s="693"/>
      <c r="N452" s="693"/>
      <c r="O452" s="693"/>
      <c r="P452" s="693"/>
      <c r="Q452" s="693"/>
      <c r="R452" s="693"/>
      <c r="S452" s="693"/>
      <c r="T452" s="2082"/>
      <c r="U452" s="666"/>
      <c r="V452" s="666"/>
      <c r="W452" s="666"/>
      <c r="X452" s="666"/>
      <c r="Y452" s="666"/>
      <c r="Z452" s="666"/>
      <c r="AA452" s="666"/>
      <c r="AB452" s="666"/>
      <c r="AC452" s="666"/>
    </row>
    <row r="453" spans="1:29" ht="14.25" x14ac:dyDescent="0.3">
      <c r="A453" s="1325"/>
      <c r="B453" s="1253"/>
      <c r="C453" s="1245" t="str">
        <f t="shared" si="88"/>
        <v>VODNÍ nákladní doprava</v>
      </c>
      <c r="D453" s="625"/>
      <c r="E453" s="693"/>
      <c r="F453" s="693"/>
      <c r="G453" s="693"/>
      <c r="H453" s="693"/>
      <c r="I453" s="693"/>
      <c r="J453" s="693"/>
      <c r="K453" s="693"/>
      <c r="L453" s="693"/>
      <c r="M453" s="693"/>
      <c r="N453" s="693"/>
      <c r="O453" s="693"/>
      <c r="P453" s="693"/>
      <c r="Q453" s="693"/>
      <c r="R453" s="693"/>
      <c r="S453" s="693"/>
      <c r="T453" s="2082"/>
      <c r="U453" s="666"/>
      <c r="V453" s="666"/>
      <c r="W453" s="666"/>
      <c r="X453" s="666"/>
      <c r="Y453" s="666"/>
      <c r="Z453" s="666"/>
      <c r="AA453" s="666"/>
      <c r="AB453" s="666"/>
      <c r="AC453" s="666"/>
    </row>
    <row r="454" spans="1:29" ht="14.25" x14ac:dyDescent="0.3">
      <c r="A454" s="1325"/>
      <c r="B454" s="1253"/>
      <c r="C454" s="1245" t="str">
        <f t="shared" si="88"/>
        <v>OSTATNÍ osobní doprava</v>
      </c>
      <c r="D454" s="625"/>
      <c r="E454" s="693"/>
      <c r="F454" s="693"/>
      <c r="G454" s="693"/>
      <c r="H454" s="693"/>
      <c r="I454" s="693"/>
      <c r="J454" s="693"/>
      <c r="K454" s="693"/>
      <c r="L454" s="693"/>
      <c r="M454" s="693"/>
      <c r="N454" s="693"/>
      <c r="O454" s="693"/>
      <c r="P454" s="693"/>
      <c r="Q454" s="693"/>
      <c r="R454" s="693"/>
      <c r="S454" s="693"/>
      <c r="T454" s="2082"/>
      <c r="U454" s="666"/>
      <c r="V454" s="666"/>
      <c r="W454" s="666"/>
      <c r="X454" s="666"/>
      <c r="Y454" s="666"/>
      <c r="Z454" s="666"/>
      <c r="AA454" s="666"/>
      <c r="AB454" s="666"/>
      <c r="AC454" s="666"/>
    </row>
    <row r="455" spans="1:29" ht="15" thickBot="1" x14ac:dyDescent="0.35">
      <c r="A455" s="1325"/>
      <c r="B455" s="1259"/>
      <c r="C455" s="1248" t="str">
        <f t="shared" si="88"/>
        <v>OSTATNÍ nákladní doprava</v>
      </c>
      <c r="D455" s="1249"/>
      <c r="E455" s="693"/>
      <c r="F455" s="693"/>
      <c r="G455" s="693"/>
      <c r="H455" s="693"/>
      <c r="I455" s="693"/>
      <c r="J455" s="693"/>
      <c r="K455" s="693"/>
      <c r="L455" s="693"/>
      <c r="M455" s="693"/>
      <c r="N455" s="693"/>
      <c r="O455" s="693"/>
      <c r="P455" s="693"/>
      <c r="Q455" s="693"/>
      <c r="R455" s="693"/>
      <c r="S455" s="693"/>
      <c r="T455" s="2082"/>
      <c r="U455" s="666"/>
      <c r="V455" s="666"/>
      <c r="W455" s="666"/>
      <c r="X455" s="666"/>
      <c r="Y455" s="666"/>
      <c r="Z455" s="666"/>
      <c r="AA455" s="666"/>
      <c r="AB455" s="666"/>
      <c r="AC455" s="666"/>
    </row>
    <row r="456" spans="1:29" x14ac:dyDescent="0.3">
      <c r="A456" s="1325"/>
      <c r="B456" s="1329"/>
      <c r="C456" s="1330"/>
      <c r="D456" s="1328"/>
      <c r="E456" s="2075"/>
      <c r="F456" s="2075"/>
      <c r="G456" s="2075"/>
      <c r="H456" s="2075"/>
      <c r="I456" s="2075"/>
      <c r="J456" s="2075"/>
      <c r="K456" s="2075"/>
      <c r="L456" s="2075"/>
      <c r="M456" s="2075"/>
      <c r="N456" s="2075"/>
      <c r="O456" s="2075"/>
      <c r="P456" s="2075"/>
      <c r="Q456" s="2075"/>
      <c r="R456" s="2075"/>
      <c r="S456" s="2075"/>
      <c r="T456" s="1324"/>
      <c r="U456" s="666"/>
      <c r="V456" s="666"/>
      <c r="W456" s="666"/>
      <c r="X456" s="666"/>
      <c r="Y456" s="666"/>
      <c r="Z456" s="666"/>
      <c r="AA456" s="666"/>
      <c r="AB456" s="666"/>
      <c r="AC456" s="666"/>
    </row>
    <row r="457" spans="1:29" ht="14.25" thickBot="1" x14ac:dyDescent="0.35">
      <c r="A457" s="1325"/>
      <c r="B457" s="1329"/>
      <c r="C457" s="1330"/>
      <c r="D457" s="1328"/>
      <c r="E457" s="1331"/>
      <c r="F457" s="1331"/>
      <c r="G457" s="1331"/>
      <c r="H457" s="1331"/>
      <c r="I457" s="1331"/>
      <c r="J457" s="1331"/>
      <c r="K457" s="1331"/>
      <c r="L457" s="1331"/>
      <c r="M457" s="1331"/>
      <c r="N457" s="1331"/>
      <c r="O457" s="1331"/>
      <c r="P457" s="1331"/>
      <c r="Q457" s="1331"/>
      <c r="R457" s="1331"/>
      <c r="S457" s="1331"/>
      <c r="T457" s="1324"/>
      <c r="U457" s="666"/>
      <c r="V457" s="666"/>
      <c r="W457" s="666"/>
      <c r="X457" s="666"/>
      <c r="Y457" s="666"/>
      <c r="Z457" s="666"/>
      <c r="AA457" s="666"/>
      <c r="AB457" s="666"/>
      <c r="AC457" s="666"/>
    </row>
    <row r="458" spans="1:29" ht="14.25" x14ac:dyDescent="0.3">
      <c r="A458" s="1325"/>
      <c r="B458" s="1368" t="s">
        <v>157</v>
      </c>
      <c r="C458" s="1254" t="str">
        <f>C437</f>
        <v>Emise škodlivin - t PM2,5 / rok</v>
      </c>
      <c r="D458" s="947"/>
      <c r="E458" s="2379">
        <f>E437</f>
        <v>2021</v>
      </c>
      <c r="F458" s="2373">
        <f t="shared" ref="F458:S458" si="89">E458+1</f>
        <v>2022</v>
      </c>
      <c r="G458" s="2373">
        <f t="shared" si="89"/>
        <v>2023</v>
      </c>
      <c r="H458" s="2373">
        <f t="shared" si="89"/>
        <v>2024</v>
      </c>
      <c r="I458" s="2373">
        <f t="shared" si="89"/>
        <v>2025</v>
      </c>
      <c r="J458" s="2373">
        <f t="shared" si="89"/>
        <v>2026</v>
      </c>
      <c r="K458" s="2373">
        <f t="shared" si="89"/>
        <v>2027</v>
      </c>
      <c r="L458" s="2373">
        <f t="shared" si="89"/>
        <v>2028</v>
      </c>
      <c r="M458" s="2373">
        <f t="shared" si="89"/>
        <v>2029</v>
      </c>
      <c r="N458" s="2373">
        <f t="shared" si="89"/>
        <v>2030</v>
      </c>
      <c r="O458" s="2373">
        <f t="shared" si="89"/>
        <v>2031</v>
      </c>
      <c r="P458" s="2373">
        <f t="shared" si="89"/>
        <v>2032</v>
      </c>
      <c r="Q458" s="2373">
        <f t="shared" si="89"/>
        <v>2033</v>
      </c>
      <c r="R458" s="2373">
        <f t="shared" si="89"/>
        <v>2034</v>
      </c>
      <c r="S458" s="2367">
        <f t="shared" si="89"/>
        <v>2035</v>
      </c>
      <c r="T458" s="1324"/>
      <c r="U458" s="666"/>
      <c r="V458" s="666"/>
      <c r="W458" s="666"/>
      <c r="X458" s="666"/>
      <c r="Y458" s="666"/>
      <c r="Z458" s="666"/>
      <c r="AA458" s="666"/>
      <c r="AB458" s="666"/>
      <c r="AC458" s="666"/>
    </row>
    <row r="459" spans="1:29" ht="15" thickBot="1" x14ac:dyDescent="0.35">
      <c r="A459" s="1325"/>
      <c r="B459" s="875" t="s">
        <v>23</v>
      </c>
      <c r="C459" s="876" t="str">
        <f>C427</f>
        <v>Scénář bez projektu</v>
      </c>
      <c r="D459" s="635" t="str">
        <f>D438</f>
        <v>Celkem</v>
      </c>
      <c r="E459" s="2380"/>
      <c r="F459" s="2374"/>
      <c r="G459" s="2374"/>
      <c r="H459" s="2374"/>
      <c r="I459" s="2374"/>
      <c r="J459" s="2374"/>
      <c r="K459" s="2374"/>
      <c r="L459" s="2374"/>
      <c r="M459" s="2374"/>
      <c r="N459" s="2374"/>
      <c r="O459" s="2374"/>
      <c r="P459" s="2374"/>
      <c r="Q459" s="2374"/>
      <c r="R459" s="2374"/>
      <c r="S459" s="2368"/>
      <c r="T459" s="1324"/>
      <c r="U459" s="666"/>
      <c r="V459" s="666"/>
      <c r="W459" s="666"/>
      <c r="X459" s="666"/>
      <c r="Y459" s="666"/>
      <c r="Z459" s="666"/>
      <c r="AA459" s="666"/>
      <c r="AB459" s="666"/>
      <c r="AC459" s="666"/>
    </row>
    <row r="460" spans="1:29" ht="14.25" x14ac:dyDescent="0.3">
      <c r="A460" s="1325"/>
      <c r="B460" s="1251"/>
      <c r="C460" s="607" t="str">
        <f>C449</f>
        <v>ŽELEZNIČNÍ osobní doprava</v>
      </c>
      <c r="D460" s="605">
        <f>SUM(E460:S460,E470:S470)</f>
        <v>0</v>
      </c>
      <c r="E460" s="691"/>
      <c r="F460" s="691"/>
      <c r="G460" s="691"/>
      <c r="H460" s="691"/>
      <c r="I460" s="691"/>
      <c r="J460" s="691"/>
      <c r="K460" s="691"/>
      <c r="L460" s="691"/>
      <c r="M460" s="691"/>
      <c r="N460" s="691"/>
      <c r="O460" s="691"/>
      <c r="P460" s="691"/>
      <c r="Q460" s="691"/>
      <c r="R460" s="691"/>
      <c r="S460" s="691"/>
      <c r="T460" s="2082"/>
      <c r="U460" s="666"/>
      <c r="V460" s="666"/>
      <c r="W460" s="666"/>
      <c r="X460" s="666"/>
      <c r="Y460" s="666"/>
      <c r="Z460" s="666"/>
      <c r="AA460" s="666"/>
      <c r="AB460" s="666"/>
      <c r="AC460" s="666"/>
    </row>
    <row r="461" spans="1:29" ht="14.25" x14ac:dyDescent="0.3">
      <c r="A461" s="1325"/>
      <c r="B461" s="1252"/>
      <c r="C461" s="607" t="str">
        <f t="shared" ref="C461:C466" si="90">C450</f>
        <v>ŽELEZNIČNÍ nákladní doprava</v>
      </c>
      <c r="D461" s="608">
        <f t="shared" ref="D461:D466" si="91">SUM(E461:S461,E471:S471)</f>
        <v>0</v>
      </c>
      <c r="E461" s="691"/>
      <c r="F461" s="691"/>
      <c r="G461" s="691"/>
      <c r="H461" s="691"/>
      <c r="I461" s="691"/>
      <c r="J461" s="691"/>
      <c r="K461" s="691"/>
      <c r="L461" s="691"/>
      <c r="M461" s="691"/>
      <c r="N461" s="691"/>
      <c r="O461" s="691"/>
      <c r="P461" s="691"/>
      <c r="Q461" s="691"/>
      <c r="R461" s="691"/>
      <c r="S461" s="691"/>
      <c r="T461" s="2082"/>
      <c r="U461" s="666"/>
      <c r="V461" s="666"/>
      <c r="W461" s="666"/>
      <c r="X461" s="666"/>
      <c r="Y461" s="666"/>
      <c r="Z461" s="666"/>
      <c r="AA461" s="666"/>
      <c r="AB461" s="666"/>
      <c r="AC461" s="666"/>
    </row>
    <row r="462" spans="1:29" ht="14.25" x14ac:dyDescent="0.3">
      <c r="A462" s="1325"/>
      <c r="B462" s="1252"/>
      <c r="C462" s="1245" t="str">
        <f t="shared" si="90"/>
        <v>SILNIČNÍ osobní doprava</v>
      </c>
      <c r="D462" s="608">
        <f t="shared" si="91"/>
        <v>0</v>
      </c>
      <c r="E462" s="691"/>
      <c r="F462" s="691"/>
      <c r="G462" s="691"/>
      <c r="H462" s="691"/>
      <c r="I462" s="691"/>
      <c r="J462" s="691"/>
      <c r="K462" s="691"/>
      <c r="L462" s="691"/>
      <c r="M462" s="691"/>
      <c r="N462" s="691"/>
      <c r="O462" s="691"/>
      <c r="P462" s="691"/>
      <c r="Q462" s="691"/>
      <c r="R462" s="691"/>
      <c r="S462" s="691"/>
      <c r="T462" s="2082"/>
      <c r="U462" s="666"/>
      <c r="V462" s="666"/>
      <c r="W462" s="666"/>
      <c r="X462" s="666"/>
      <c r="Y462" s="666"/>
      <c r="Z462" s="666"/>
      <c r="AA462" s="666"/>
      <c r="AB462" s="666"/>
      <c r="AC462" s="666"/>
    </row>
    <row r="463" spans="1:29" ht="14.25" x14ac:dyDescent="0.3">
      <c r="A463" s="1325"/>
      <c r="B463" s="1252"/>
      <c r="C463" s="1245" t="str">
        <f t="shared" si="90"/>
        <v>SILNIČNÍ nákladní doprava</v>
      </c>
      <c r="D463" s="608">
        <f t="shared" si="91"/>
        <v>0</v>
      </c>
      <c r="E463" s="691"/>
      <c r="F463" s="691"/>
      <c r="G463" s="691"/>
      <c r="H463" s="691"/>
      <c r="I463" s="691"/>
      <c r="J463" s="691"/>
      <c r="K463" s="691"/>
      <c r="L463" s="691"/>
      <c r="M463" s="691"/>
      <c r="N463" s="691"/>
      <c r="O463" s="691"/>
      <c r="P463" s="691"/>
      <c r="Q463" s="691"/>
      <c r="R463" s="691"/>
      <c r="S463" s="691"/>
      <c r="T463" s="2082"/>
      <c r="U463" s="666"/>
      <c r="V463" s="666"/>
      <c r="W463" s="666"/>
      <c r="X463" s="666"/>
      <c r="Y463" s="666"/>
      <c r="Z463" s="666"/>
      <c r="AA463" s="666"/>
      <c r="AB463" s="666"/>
      <c r="AC463" s="666"/>
    </row>
    <row r="464" spans="1:29" ht="14.25" x14ac:dyDescent="0.3">
      <c r="A464" s="1325"/>
      <c r="B464" s="1252"/>
      <c r="C464" s="1245" t="str">
        <f t="shared" si="90"/>
        <v>VODNÍ nákladní doprava</v>
      </c>
      <c r="D464" s="608">
        <f t="shared" si="91"/>
        <v>0</v>
      </c>
      <c r="E464" s="691"/>
      <c r="F464" s="691"/>
      <c r="G464" s="691"/>
      <c r="H464" s="691"/>
      <c r="I464" s="691"/>
      <c r="J464" s="691"/>
      <c r="K464" s="691"/>
      <c r="L464" s="691"/>
      <c r="M464" s="691"/>
      <c r="N464" s="691"/>
      <c r="O464" s="691"/>
      <c r="P464" s="691"/>
      <c r="Q464" s="691"/>
      <c r="R464" s="691"/>
      <c r="S464" s="691"/>
      <c r="T464" s="2082"/>
      <c r="U464" s="666"/>
      <c r="V464" s="666"/>
      <c r="W464" s="666"/>
      <c r="X464" s="666"/>
      <c r="Y464" s="666"/>
      <c r="Z464" s="666"/>
      <c r="AA464" s="666"/>
      <c r="AB464" s="666"/>
      <c r="AC464" s="666"/>
    </row>
    <row r="465" spans="1:29" ht="14.25" x14ac:dyDescent="0.3">
      <c r="A465" s="1325"/>
      <c r="B465" s="1252"/>
      <c r="C465" s="1245" t="str">
        <f t="shared" si="90"/>
        <v>OSTATNÍ osobní doprava</v>
      </c>
      <c r="D465" s="608">
        <f t="shared" si="91"/>
        <v>0</v>
      </c>
      <c r="E465" s="691"/>
      <c r="F465" s="691"/>
      <c r="G465" s="691"/>
      <c r="H465" s="691"/>
      <c r="I465" s="691"/>
      <c r="J465" s="691"/>
      <c r="K465" s="691"/>
      <c r="L465" s="691"/>
      <c r="M465" s="691"/>
      <c r="N465" s="691"/>
      <c r="O465" s="691"/>
      <c r="P465" s="691"/>
      <c r="Q465" s="691"/>
      <c r="R465" s="691"/>
      <c r="S465" s="691"/>
      <c r="T465" s="2082"/>
      <c r="U465" s="666"/>
      <c r="V465" s="666"/>
      <c r="W465" s="666"/>
      <c r="X465" s="666"/>
      <c r="Y465" s="666"/>
      <c r="Z465" s="666"/>
      <c r="AA465" s="666"/>
      <c r="AB465" s="666"/>
      <c r="AC465" s="666"/>
    </row>
    <row r="466" spans="1:29" ht="15" thickBot="1" x14ac:dyDescent="0.35">
      <c r="A466" s="1325"/>
      <c r="B466" s="1258"/>
      <c r="C466" s="1248" t="str">
        <f t="shared" si="90"/>
        <v>OSTATNÍ nákladní doprava</v>
      </c>
      <c r="D466" s="1250">
        <f t="shared" si="91"/>
        <v>0</v>
      </c>
      <c r="E466" s="691"/>
      <c r="F466" s="691"/>
      <c r="G466" s="691"/>
      <c r="H466" s="691"/>
      <c r="I466" s="691"/>
      <c r="J466" s="691"/>
      <c r="K466" s="691"/>
      <c r="L466" s="691"/>
      <c r="M466" s="691"/>
      <c r="N466" s="691"/>
      <c r="O466" s="691"/>
      <c r="P466" s="691"/>
      <c r="Q466" s="691"/>
      <c r="R466" s="691"/>
      <c r="S466" s="691"/>
      <c r="T466" s="2082"/>
      <c r="U466" s="666"/>
      <c r="V466" s="666"/>
      <c r="W466" s="666"/>
      <c r="X466" s="666"/>
      <c r="Y466" s="666"/>
      <c r="Z466" s="666"/>
      <c r="AA466" s="666"/>
      <c r="AB466" s="666"/>
      <c r="AC466" s="666"/>
    </row>
    <row r="467" spans="1:29" ht="14.25" thickBot="1" x14ac:dyDescent="0.35">
      <c r="A467" s="1325"/>
      <c r="B467" s="1326"/>
      <c r="C467" s="1327"/>
      <c r="D467" s="1328"/>
      <c r="E467" s="2074"/>
      <c r="F467" s="2074"/>
      <c r="G467" s="2074"/>
      <c r="H467" s="2074"/>
      <c r="I467" s="2074"/>
      <c r="J467" s="2074"/>
      <c r="K467" s="2074"/>
      <c r="L467" s="2074"/>
      <c r="M467" s="2074"/>
      <c r="N467" s="2074"/>
      <c r="O467" s="2074"/>
      <c r="P467" s="2074"/>
      <c r="Q467" s="2074"/>
      <c r="R467" s="2074"/>
      <c r="S467" s="2074"/>
      <c r="T467" s="1324"/>
      <c r="U467" s="666"/>
      <c r="V467" s="666"/>
      <c r="W467" s="666"/>
      <c r="X467" s="666"/>
      <c r="Y467" s="666"/>
      <c r="Z467" s="666"/>
      <c r="AA467" s="666"/>
      <c r="AB467" s="666"/>
      <c r="AC467" s="666"/>
    </row>
    <row r="468" spans="1:29" ht="14.25" x14ac:dyDescent="0.3">
      <c r="A468" s="1325"/>
      <c r="B468" s="1368" t="str">
        <f>B458</f>
        <v>6.16.</v>
      </c>
      <c r="C468" s="1254" t="str">
        <f>C447</f>
        <v>Zmírnění změny klimatu - t PM2,5 / rok</v>
      </c>
      <c r="D468" s="949"/>
      <c r="E468" s="2379">
        <f>S458+1</f>
        <v>2036</v>
      </c>
      <c r="F468" s="2373">
        <f t="shared" ref="F468:S468" si="92">E468+1</f>
        <v>2037</v>
      </c>
      <c r="G468" s="2373">
        <f t="shared" si="92"/>
        <v>2038</v>
      </c>
      <c r="H468" s="2373">
        <f t="shared" si="92"/>
        <v>2039</v>
      </c>
      <c r="I468" s="2373">
        <f t="shared" si="92"/>
        <v>2040</v>
      </c>
      <c r="J468" s="2373">
        <f t="shared" si="92"/>
        <v>2041</v>
      </c>
      <c r="K468" s="2373">
        <f t="shared" si="92"/>
        <v>2042</v>
      </c>
      <c r="L468" s="2373">
        <f t="shared" si="92"/>
        <v>2043</v>
      </c>
      <c r="M468" s="2373">
        <f t="shared" si="92"/>
        <v>2044</v>
      </c>
      <c r="N468" s="2373">
        <f t="shared" si="92"/>
        <v>2045</v>
      </c>
      <c r="O468" s="2373">
        <f t="shared" si="92"/>
        <v>2046</v>
      </c>
      <c r="P468" s="2373">
        <f t="shared" si="92"/>
        <v>2047</v>
      </c>
      <c r="Q468" s="2373">
        <f t="shared" si="92"/>
        <v>2048</v>
      </c>
      <c r="R468" s="2373">
        <f t="shared" si="92"/>
        <v>2049</v>
      </c>
      <c r="S468" s="2367">
        <f t="shared" si="92"/>
        <v>2050</v>
      </c>
      <c r="T468" s="1324"/>
      <c r="U468" s="666"/>
      <c r="V468" s="666"/>
      <c r="W468" s="666"/>
      <c r="X468" s="666"/>
      <c r="Y468" s="666"/>
      <c r="Z468" s="666"/>
      <c r="AA468" s="666"/>
      <c r="AB468" s="666"/>
      <c r="AC468" s="666"/>
    </row>
    <row r="469" spans="1:29" ht="15" thickBot="1" x14ac:dyDescent="0.35">
      <c r="A469" s="1325"/>
      <c r="B469" s="875" t="s">
        <v>24</v>
      </c>
      <c r="C469" s="876" t="str">
        <f>C459</f>
        <v>Scénář bez projektu</v>
      </c>
      <c r="D469" s="1257"/>
      <c r="E469" s="2380"/>
      <c r="F469" s="2374"/>
      <c r="G469" s="2374"/>
      <c r="H469" s="2374"/>
      <c r="I469" s="2374"/>
      <c r="J469" s="2374"/>
      <c r="K469" s="2374"/>
      <c r="L469" s="2374"/>
      <c r="M469" s="2374"/>
      <c r="N469" s="2374"/>
      <c r="O469" s="2374"/>
      <c r="P469" s="2374"/>
      <c r="Q469" s="2374"/>
      <c r="R469" s="2374"/>
      <c r="S469" s="2368"/>
      <c r="T469" s="1324"/>
      <c r="U469" s="666"/>
      <c r="V469" s="666"/>
      <c r="W469" s="666"/>
      <c r="X469" s="666"/>
      <c r="Y469" s="666"/>
      <c r="Z469" s="666"/>
      <c r="AA469" s="666"/>
      <c r="AB469" s="666"/>
      <c r="AC469" s="666"/>
    </row>
    <row r="470" spans="1:29" ht="14.25" x14ac:dyDescent="0.3">
      <c r="A470" s="1325"/>
      <c r="B470" s="1251"/>
      <c r="C470" s="607" t="str">
        <f>C460</f>
        <v>ŽELEZNIČNÍ osobní doprava</v>
      </c>
      <c r="D470" s="912"/>
      <c r="E470" s="691"/>
      <c r="F470" s="693"/>
      <c r="G470" s="693"/>
      <c r="H470" s="693"/>
      <c r="I470" s="693"/>
      <c r="J470" s="693"/>
      <c r="K470" s="693"/>
      <c r="L470" s="693"/>
      <c r="M470" s="693"/>
      <c r="N470" s="693"/>
      <c r="O470" s="693"/>
      <c r="P470" s="693"/>
      <c r="Q470" s="693"/>
      <c r="R470" s="693"/>
      <c r="S470" s="693"/>
      <c r="T470" s="2082"/>
      <c r="U470" s="666"/>
      <c r="V470" s="666"/>
      <c r="W470" s="666"/>
      <c r="X470" s="666"/>
      <c r="Y470" s="666"/>
      <c r="Z470" s="666"/>
      <c r="AA470" s="666"/>
      <c r="AB470" s="666"/>
      <c r="AC470" s="666"/>
    </row>
    <row r="471" spans="1:29" ht="14.25" x14ac:dyDescent="0.3">
      <c r="A471" s="1325"/>
      <c r="B471" s="1253"/>
      <c r="C471" s="607" t="str">
        <f t="shared" ref="C471:C476" si="93">C461</f>
        <v>ŽELEZNIČNÍ nákladní doprava</v>
      </c>
      <c r="D471" s="625"/>
      <c r="E471" s="693"/>
      <c r="F471" s="693"/>
      <c r="G471" s="693"/>
      <c r="H471" s="693"/>
      <c r="I471" s="693"/>
      <c r="J471" s="693"/>
      <c r="K471" s="693"/>
      <c r="L471" s="693"/>
      <c r="M471" s="693"/>
      <c r="N471" s="693"/>
      <c r="O471" s="693"/>
      <c r="P471" s="693"/>
      <c r="Q471" s="693"/>
      <c r="R471" s="693"/>
      <c r="S471" s="693"/>
      <c r="T471" s="2082"/>
      <c r="U471" s="666"/>
      <c r="V471" s="666"/>
      <c r="W471" s="666"/>
      <c r="X471" s="666"/>
      <c r="Y471" s="666"/>
      <c r="Z471" s="666"/>
      <c r="AA471" s="666"/>
      <c r="AB471" s="666"/>
      <c r="AC471" s="666"/>
    </row>
    <row r="472" spans="1:29" ht="14.25" x14ac:dyDescent="0.3">
      <c r="A472" s="1325"/>
      <c r="B472" s="1253"/>
      <c r="C472" s="1245" t="str">
        <f t="shared" si="93"/>
        <v>SILNIČNÍ osobní doprava</v>
      </c>
      <c r="D472" s="625"/>
      <c r="E472" s="693"/>
      <c r="F472" s="693"/>
      <c r="G472" s="693"/>
      <c r="H472" s="693"/>
      <c r="I472" s="693"/>
      <c r="J472" s="693"/>
      <c r="K472" s="693"/>
      <c r="L472" s="693"/>
      <c r="M472" s="693"/>
      <c r="N472" s="693"/>
      <c r="O472" s="693"/>
      <c r="P472" s="693"/>
      <c r="Q472" s="693"/>
      <c r="R472" s="693"/>
      <c r="S472" s="693"/>
      <c r="T472" s="2082"/>
      <c r="U472" s="666"/>
      <c r="V472" s="666"/>
      <c r="W472" s="666"/>
      <c r="X472" s="666"/>
      <c r="Y472" s="666"/>
      <c r="Z472" s="666"/>
      <c r="AA472" s="666"/>
      <c r="AB472" s="666"/>
      <c r="AC472" s="666"/>
    </row>
    <row r="473" spans="1:29" ht="14.25" x14ac:dyDescent="0.3">
      <c r="A473" s="1325"/>
      <c r="B473" s="1253"/>
      <c r="C473" s="1245" t="str">
        <f t="shared" si="93"/>
        <v>SILNIČNÍ nákladní doprava</v>
      </c>
      <c r="D473" s="625"/>
      <c r="E473" s="693"/>
      <c r="F473" s="693"/>
      <c r="G473" s="693"/>
      <c r="H473" s="693"/>
      <c r="I473" s="693"/>
      <c r="J473" s="693"/>
      <c r="K473" s="693"/>
      <c r="L473" s="693"/>
      <c r="M473" s="693"/>
      <c r="N473" s="693"/>
      <c r="O473" s="693"/>
      <c r="P473" s="693"/>
      <c r="Q473" s="693"/>
      <c r="R473" s="693"/>
      <c r="S473" s="693"/>
      <c r="T473" s="2082"/>
      <c r="U473" s="666"/>
      <c r="V473" s="666"/>
      <c r="W473" s="666"/>
      <c r="X473" s="666"/>
      <c r="Y473" s="666"/>
      <c r="Z473" s="666"/>
      <c r="AA473" s="666"/>
      <c r="AB473" s="666"/>
      <c r="AC473" s="666"/>
    </row>
    <row r="474" spans="1:29" ht="14.25" x14ac:dyDescent="0.3">
      <c r="A474" s="1325"/>
      <c r="B474" s="1253"/>
      <c r="C474" s="1245" t="str">
        <f t="shared" si="93"/>
        <v>VODNÍ nákladní doprava</v>
      </c>
      <c r="D474" s="625"/>
      <c r="E474" s="693"/>
      <c r="F474" s="693"/>
      <c r="G474" s="693"/>
      <c r="H474" s="693"/>
      <c r="I474" s="693"/>
      <c r="J474" s="693"/>
      <c r="K474" s="693"/>
      <c r="L474" s="693"/>
      <c r="M474" s="693"/>
      <c r="N474" s="693"/>
      <c r="O474" s="693"/>
      <c r="P474" s="693"/>
      <c r="Q474" s="693"/>
      <c r="R474" s="693"/>
      <c r="S474" s="693"/>
      <c r="T474" s="2082"/>
      <c r="U474" s="666"/>
      <c r="V474" s="666"/>
      <c r="W474" s="666"/>
      <c r="X474" s="666"/>
      <c r="Y474" s="666"/>
      <c r="Z474" s="666"/>
      <c r="AA474" s="666"/>
      <c r="AB474" s="666"/>
      <c r="AC474" s="666"/>
    </row>
    <row r="475" spans="1:29" ht="14.25" x14ac:dyDescent="0.3">
      <c r="A475" s="1325"/>
      <c r="B475" s="1253"/>
      <c r="C475" s="1245" t="str">
        <f t="shared" si="93"/>
        <v>OSTATNÍ osobní doprava</v>
      </c>
      <c r="D475" s="625"/>
      <c r="E475" s="693"/>
      <c r="F475" s="693"/>
      <c r="G475" s="693"/>
      <c r="H475" s="693"/>
      <c r="I475" s="693"/>
      <c r="J475" s="693"/>
      <c r="K475" s="693"/>
      <c r="L475" s="693"/>
      <c r="M475" s="693"/>
      <c r="N475" s="693"/>
      <c r="O475" s="693"/>
      <c r="P475" s="693"/>
      <c r="Q475" s="693"/>
      <c r="R475" s="693"/>
      <c r="S475" s="693"/>
      <c r="T475" s="2082"/>
      <c r="U475" s="666"/>
      <c r="V475" s="666"/>
      <c r="W475" s="666"/>
      <c r="X475" s="666"/>
      <c r="Y475" s="666"/>
      <c r="Z475" s="666"/>
      <c r="AA475" s="666"/>
      <c r="AB475" s="666"/>
      <c r="AC475" s="666"/>
    </row>
    <row r="476" spans="1:29" ht="15" thickBot="1" x14ac:dyDescent="0.35">
      <c r="A476" s="1325"/>
      <c r="B476" s="1259"/>
      <c r="C476" s="1248" t="str">
        <f t="shared" si="93"/>
        <v>OSTATNÍ nákladní doprava</v>
      </c>
      <c r="D476" s="1249"/>
      <c r="E476" s="693"/>
      <c r="F476" s="693"/>
      <c r="G476" s="693"/>
      <c r="H476" s="693"/>
      <c r="I476" s="693"/>
      <c r="J476" s="693"/>
      <c r="K476" s="693"/>
      <c r="L476" s="693"/>
      <c r="M476" s="693"/>
      <c r="N476" s="693"/>
      <c r="O476" s="693"/>
      <c r="P476" s="693"/>
      <c r="Q476" s="693"/>
      <c r="R476" s="693"/>
      <c r="S476" s="693"/>
      <c r="T476" s="2082"/>
      <c r="U476" s="666"/>
      <c r="V476" s="666"/>
      <c r="W476" s="666"/>
      <c r="X476" s="666"/>
      <c r="Y476" s="666"/>
      <c r="Z476" s="666"/>
      <c r="AA476" s="666"/>
      <c r="AB476" s="666"/>
      <c r="AC476" s="666"/>
    </row>
    <row r="477" spans="1:29" ht="14.25" thickBot="1" x14ac:dyDescent="0.35">
      <c r="A477" s="1325"/>
      <c r="B477" s="1329"/>
      <c r="C477" s="1330"/>
      <c r="D477" s="1328"/>
      <c r="E477" s="2075"/>
      <c r="F477" s="2075"/>
      <c r="G477" s="2075"/>
      <c r="H477" s="2075"/>
      <c r="I477" s="2075"/>
      <c r="J477" s="2075"/>
      <c r="K477" s="2075"/>
      <c r="L477" s="2075"/>
      <c r="M477" s="2075"/>
      <c r="N477" s="2075"/>
      <c r="O477" s="2075"/>
      <c r="P477" s="2075"/>
      <c r="Q477" s="2075"/>
      <c r="R477" s="2075"/>
      <c r="S477" s="2075"/>
      <c r="T477" s="1324"/>
      <c r="U477" s="666"/>
      <c r="V477" s="666"/>
      <c r="W477" s="666"/>
      <c r="X477" s="666"/>
      <c r="Y477" s="666"/>
      <c r="Z477" s="666"/>
      <c r="AA477" s="666"/>
      <c r="AB477" s="666"/>
      <c r="AC477" s="666"/>
    </row>
    <row r="478" spans="1:29" ht="14.25" thickBot="1" x14ac:dyDescent="0.35">
      <c r="A478" s="1332"/>
      <c r="B478" s="1333"/>
      <c r="C478" s="1334"/>
      <c r="D478" s="1335"/>
      <c r="E478" s="1336"/>
      <c r="F478" s="1336"/>
      <c r="G478" s="1336"/>
      <c r="H478" s="1336"/>
      <c r="I478" s="1336"/>
      <c r="J478" s="1336"/>
      <c r="K478" s="1336"/>
      <c r="L478" s="1336"/>
      <c r="M478" s="1336"/>
      <c r="N478" s="1336"/>
      <c r="O478" s="1336"/>
      <c r="P478" s="1336"/>
      <c r="Q478" s="1336"/>
      <c r="R478" s="1336"/>
      <c r="S478" s="1336"/>
      <c r="T478" s="1337"/>
      <c r="U478" s="666"/>
      <c r="V478" s="666"/>
      <c r="W478" s="666"/>
      <c r="X478" s="666"/>
      <c r="Y478" s="666"/>
      <c r="Z478" s="666"/>
      <c r="AA478" s="666"/>
      <c r="AB478" s="666"/>
      <c r="AC478" s="666"/>
    </row>
    <row r="479" spans="1:29" ht="14.25" x14ac:dyDescent="0.3">
      <c r="A479" s="1340"/>
      <c r="B479" s="1156" t="s">
        <v>204</v>
      </c>
      <c r="C479" s="897" t="str">
        <f>IF('0 Úvod'!$M$10="English",Slovnik!$D$385,Slovnik!$C$385)</f>
        <v>Emise škodlivin - t PM10 / rok</v>
      </c>
      <c r="D479" s="898"/>
      <c r="E479" s="2363">
        <f>E437</f>
        <v>2021</v>
      </c>
      <c r="F479" s="2361">
        <f t="shared" ref="F479:S479" si="94">E479+1</f>
        <v>2022</v>
      </c>
      <c r="G479" s="2361">
        <f t="shared" si="94"/>
        <v>2023</v>
      </c>
      <c r="H479" s="2361">
        <f t="shared" si="94"/>
        <v>2024</v>
      </c>
      <c r="I479" s="2361">
        <f t="shared" si="94"/>
        <v>2025</v>
      </c>
      <c r="J479" s="2361">
        <f t="shared" si="94"/>
        <v>2026</v>
      </c>
      <c r="K479" s="2361">
        <f t="shared" si="94"/>
        <v>2027</v>
      </c>
      <c r="L479" s="2361">
        <f t="shared" si="94"/>
        <v>2028</v>
      </c>
      <c r="M479" s="2361">
        <f t="shared" si="94"/>
        <v>2029</v>
      </c>
      <c r="N479" s="2361">
        <f t="shared" si="94"/>
        <v>2030</v>
      </c>
      <c r="O479" s="2361">
        <f t="shared" si="94"/>
        <v>2031</v>
      </c>
      <c r="P479" s="2361">
        <f t="shared" si="94"/>
        <v>2032</v>
      </c>
      <c r="Q479" s="2361">
        <f t="shared" si="94"/>
        <v>2033</v>
      </c>
      <c r="R479" s="2361">
        <f t="shared" si="94"/>
        <v>2034</v>
      </c>
      <c r="S479" s="2365">
        <f t="shared" si="94"/>
        <v>2035</v>
      </c>
      <c r="T479" s="1338"/>
      <c r="U479" s="666"/>
      <c r="V479" s="666"/>
      <c r="W479" s="666"/>
      <c r="X479" s="666"/>
      <c r="Y479" s="666"/>
      <c r="Z479" s="666"/>
      <c r="AA479" s="666"/>
      <c r="AB479" s="666"/>
      <c r="AC479" s="666"/>
    </row>
    <row r="480" spans="1:29" ht="15" thickBot="1" x14ac:dyDescent="0.35">
      <c r="A480" s="1340"/>
      <c r="B480" s="694" t="s">
        <v>23</v>
      </c>
      <c r="C480" s="840" t="str">
        <f>C448</f>
        <v>Scénář s projektem</v>
      </c>
      <c r="D480" s="696" t="str">
        <f>D459</f>
        <v>Celkem</v>
      </c>
      <c r="E480" s="2364"/>
      <c r="F480" s="2362"/>
      <c r="G480" s="2362"/>
      <c r="H480" s="2362"/>
      <c r="I480" s="2362"/>
      <c r="J480" s="2362"/>
      <c r="K480" s="2362"/>
      <c r="L480" s="2362"/>
      <c r="M480" s="2362"/>
      <c r="N480" s="2362"/>
      <c r="O480" s="2362"/>
      <c r="P480" s="2362"/>
      <c r="Q480" s="2362"/>
      <c r="R480" s="2362"/>
      <c r="S480" s="2366"/>
      <c r="T480" s="1338"/>
      <c r="U480" s="666"/>
      <c r="V480" s="666"/>
      <c r="W480" s="666"/>
      <c r="X480" s="666"/>
      <c r="Y480" s="666"/>
      <c r="Z480" s="666"/>
      <c r="AA480" s="666"/>
      <c r="AB480" s="666"/>
      <c r="AC480" s="666"/>
    </row>
    <row r="481" spans="1:29" ht="14.25" x14ac:dyDescent="0.3">
      <c r="A481" s="1340"/>
      <c r="B481" s="1251"/>
      <c r="C481" s="607" t="str">
        <f>C470</f>
        <v>ŽELEZNIČNÍ osobní doprava</v>
      </c>
      <c r="D481" s="605">
        <f>SUM(E481:S481,E491:S491)</f>
        <v>0</v>
      </c>
      <c r="E481" s="691"/>
      <c r="F481" s="691"/>
      <c r="G481" s="691"/>
      <c r="H481" s="691"/>
      <c r="I481" s="691"/>
      <c r="J481" s="691"/>
      <c r="K481" s="691"/>
      <c r="L481" s="691"/>
      <c r="M481" s="691"/>
      <c r="N481" s="691"/>
      <c r="O481" s="691"/>
      <c r="P481" s="691"/>
      <c r="Q481" s="691"/>
      <c r="R481" s="691"/>
      <c r="S481" s="691"/>
      <c r="T481" s="2083"/>
      <c r="U481" s="666"/>
      <c r="V481" s="666"/>
      <c r="W481" s="666"/>
      <c r="X481" s="666"/>
      <c r="Y481" s="666"/>
      <c r="Z481" s="666"/>
      <c r="AA481" s="666"/>
      <c r="AB481" s="666"/>
      <c r="AC481" s="666"/>
    </row>
    <row r="482" spans="1:29" ht="14.25" x14ac:dyDescent="0.3">
      <c r="A482" s="1340"/>
      <c r="B482" s="1252"/>
      <c r="C482" s="607" t="str">
        <f t="shared" ref="C482:C487" si="95">C471</f>
        <v>ŽELEZNIČNÍ nákladní doprava</v>
      </c>
      <c r="D482" s="608">
        <f t="shared" ref="D482:D487" si="96">SUM(E482:S482,E492:S492)</f>
        <v>0</v>
      </c>
      <c r="E482" s="691"/>
      <c r="F482" s="691"/>
      <c r="G482" s="691"/>
      <c r="H482" s="691"/>
      <c r="I482" s="691"/>
      <c r="J482" s="691"/>
      <c r="K482" s="691"/>
      <c r="L482" s="691"/>
      <c r="M482" s="691"/>
      <c r="N482" s="691"/>
      <c r="O482" s="691"/>
      <c r="P482" s="691"/>
      <c r="Q482" s="691"/>
      <c r="R482" s="691"/>
      <c r="S482" s="691"/>
      <c r="T482" s="2083"/>
      <c r="U482" s="666"/>
      <c r="V482" s="666"/>
      <c r="W482" s="666"/>
      <c r="X482" s="666"/>
      <c r="Y482" s="666"/>
      <c r="Z482" s="666"/>
      <c r="AA482" s="666"/>
      <c r="AB482" s="666"/>
      <c r="AC482" s="666"/>
    </row>
    <row r="483" spans="1:29" ht="14.25" x14ac:dyDescent="0.3">
      <c r="A483" s="1340"/>
      <c r="B483" s="1252"/>
      <c r="C483" s="1245" t="str">
        <f t="shared" si="95"/>
        <v>SILNIČNÍ osobní doprava</v>
      </c>
      <c r="D483" s="608">
        <f t="shared" si="96"/>
        <v>0</v>
      </c>
      <c r="E483" s="691"/>
      <c r="F483" s="691"/>
      <c r="G483" s="691"/>
      <c r="H483" s="691"/>
      <c r="I483" s="691"/>
      <c r="J483" s="691"/>
      <c r="K483" s="691"/>
      <c r="L483" s="691"/>
      <c r="M483" s="691"/>
      <c r="N483" s="691"/>
      <c r="O483" s="691"/>
      <c r="P483" s="691"/>
      <c r="Q483" s="691"/>
      <c r="R483" s="691"/>
      <c r="S483" s="691"/>
      <c r="T483" s="2083"/>
      <c r="U483" s="666"/>
      <c r="V483" s="666"/>
      <c r="W483" s="666"/>
      <c r="X483" s="666"/>
      <c r="Y483" s="666"/>
      <c r="Z483" s="666"/>
      <c r="AA483" s="666"/>
      <c r="AB483" s="666"/>
      <c r="AC483" s="666"/>
    </row>
    <row r="484" spans="1:29" ht="14.25" x14ac:dyDescent="0.3">
      <c r="A484" s="1340"/>
      <c r="B484" s="1252"/>
      <c r="C484" s="1245" t="str">
        <f t="shared" si="95"/>
        <v>SILNIČNÍ nákladní doprava</v>
      </c>
      <c r="D484" s="608">
        <f t="shared" si="96"/>
        <v>0</v>
      </c>
      <c r="E484" s="691"/>
      <c r="F484" s="691"/>
      <c r="G484" s="691"/>
      <c r="H484" s="691"/>
      <c r="I484" s="691"/>
      <c r="J484" s="691"/>
      <c r="K484" s="691"/>
      <c r="L484" s="691"/>
      <c r="M484" s="691"/>
      <c r="N484" s="691"/>
      <c r="O484" s="691"/>
      <c r="P484" s="691"/>
      <c r="Q484" s="691"/>
      <c r="R484" s="691"/>
      <c r="S484" s="691"/>
      <c r="T484" s="2083"/>
      <c r="U484" s="666"/>
      <c r="V484" s="666"/>
      <c r="W484" s="666"/>
      <c r="X484" s="666"/>
      <c r="Y484" s="666"/>
      <c r="Z484" s="666"/>
      <c r="AA484" s="666"/>
      <c r="AB484" s="666"/>
      <c r="AC484" s="666"/>
    </row>
    <row r="485" spans="1:29" ht="14.25" x14ac:dyDescent="0.3">
      <c r="A485" s="1340"/>
      <c r="B485" s="1252"/>
      <c r="C485" s="1245" t="str">
        <f t="shared" si="95"/>
        <v>VODNÍ nákladní doprava</v>
      </c>
      <c r="D485" s="608">
        <f t="shared" si="96"/>
        <v>0</v>
      </c>
      <c r="E485" s="691"/>
      <c r="F485" s="691"/>
      <c r="G485" s="691"/>
      <c r="H485" s="691"/>
      <c r="I485" s="691"/>
      <c r="J485" s="691"/>
      <c r="K485" s="691"/>
      <c r="L485" s="691"/>
      <c r="M485" s="691"/>
      <c r="N485" s="691"/>
      <c r="O485" s="691"/>
      <c r="P485" s="691"/>
      <c r="Q485" s="691"/>
      <c r="R485" s="691"/>
      <c r="S485" s="691"/>
      <c r="T485" s="2083"/>
      <c r="U485" s="666"/>
      <c r="V485" s="666"/>
      <c r="W485" s="666"/>
      <c r="X485" s="666"/>
      <c r="Y485" s="666"/>
      <c r="Z485" s="666"/>
      <c r="AA485" s="666"/>
      <c r="AB485" s="666"/>
      <c r="AC485" s="666"/>
    </row>
    <row r="486" spans="1:29" ht="14.25" x14ac:dyDescent="0.3">
      <c r="A486" s="1340"/>
      <c r="B486" s="1252"/>
      <c r="C486" s="1245" t="str">
        <f t="shared" si="95"/>
        <v>OSTATNÍ osobní doprava</v>
      </c>
      <c r="D486" s="608">
        <f t="shared" si="96"/>
        <v>0</v>
      </c>
      <c r="E486" s="691"/>
      <c r="F486" s="691"/>
      <c r="G486" s="691"/>
      <c r="H486" s="691"/>
      <c r="I486" s="691"/>
      <c r="J486" s="691"/>
      <c r="K486" s="691"/>
      <c r="L486" s="691"/>
      <c r="M486" s="691"/>
      <c r="N486" s="691"/>
      <c r="O486" s="691"/>
      <c r="P486" s="691"/>
      <c r="Q486" s="691"/>
      <c r="R486" s="691"/>
      <c r="S486" s="691"/>
      <c r="T486" s="2083"/>
      <c r="U486" s="666"/>
      <c r="V486" s="666"/>
      <c r="W486" s="666"/>
      <c r="X486" s="666"/>
      <c r="Y486" s="666"/>
      <c r="Z486" s="666"/>
      <c r="AA486" s="666"/>
      <c r="AB486" s="666"/>
      <c r="AC486" s="666"/>
    </row>
    <row r="487" spans="1:29" ht="15" thickBot="1" x14ac:dyDescent="0.35">
      <c r="A487" s="1340"/>
      <c r="B487" s="1258"/>
      <c r="C487" s="1248" t="str">
        <f t="shared" si="95"/>
        <v>OSTATNÍ nákladní doprava</v>
      </c>
      <c r="D487" s="1250">
        <f t="shared" si="96"/>
        <v>0</v>
      </c>
      <c r="E487" s="691"/>
      <c r="F487" s="691"/>
      <c r="G487" s="691"/>
      <c r="H487" s="691"/>
      <c r="I487" s="691"/>
      <c r="J487" s="691"/>
      <c r="K487" s="691"/>
      <c r="L487" s="691"/>
      <c r="M487" s="691"/>
      <c r="N487" s="691"/>
      <c r="O487" s="691"/>
      <c r="P487" s="691"/>
      <c r="Q487" s="691"/>
      <c r="R487" s="691"/>
      <c r="S487" s="691"/>
      <c r="T487" s="2083"/>
      <c r="U487" s="666"/>
      <c r="V487" s="666"/>
      <c r="W487" s="666"/>
      <c r="X487" s="666"/>
      <c r="Y487" s="666"/>
      <c r="Z487" s="666"/>
      <c r="AA487" s="666"/>
      <c r="AB487" s="666"/>
      <c r="AC487" s="666"/>
    </row>
    <row r="488" spans="1:29" ht="14.25" thickBot="1" x14ac:dyDescent="0.35">
      <c r="A488" s="1340"/>
      <c r="B488" s="1341"/>
      <c r="C488" s="1342"/>
      <c r="D488" s="1343"/>
      <c r="E488" s="2076"/>
      <c r="F488" s="2076"/>
      <c r="G488" s="2076"/>
      <c r="H488" s="2076"/>
      <c r="I488" s="2076"/>
      <c r="J488" s="2076"/>
      <c r="K488" s="2076"/>
      <c r="L488" s="2076"/>
      <c r="M488" s="2076"/>
      <c r="N488" s="2076"/>
      <c r="O488" s="2076"/>
      <c r="P488" s="2076"/>
      <c r="Q488" s="2076"/>
      <c r="R488" s="2076"/>
      <c r="S488" s="2076"/>
      <c r="T488" s="1338"/>
      <c r="U488" s="666"/>
      <c r="V488" s="666"/>
      <c r="W488" s="666"/>
      <c r="X488" s="666"/>
      <c r="Y488" s="666"/>
      <c r="Z488" s="666"/>
      <c r="AA488" s="666"/>
      <c r="AB488" s="666"/>
      <c r="AC488" s="666"/>
    </row>
    <row r="489" spans="1:29" ht="14.25" x14ac:dyDescent="0.3">
      <c r="A489" s="1340"/>
      <c r="B489" s="1156" t="str">
        <f>B479</f>
        <v>6.17.</v>
      </c>
      <c r="C489" s="897" t="str">
        <f>IF('0 Úvod'!$M$10="English",Slovnik!$D$386,Slovnik!$C$386)</f>
        <v>Zmírnění změny klimatu - t PM10 / rok</v>
      </c>
      <c r="D489" s="899"/>
      <c r="E489" s="2363">
        <f>S479+1</f>
        <v>2036</v>
      </c>
      <c r="F489" s="2361">
        <f t="shared" ref="F489:S489" si="97">E489+1</f>
        <v>2037</v>
      </c>
      <c r="G489" s="2361">
        <f t="shared" si="97"/>
        <v>2038</v>
      </c>
      <c r="H489" s="2361">
        <f t="shared" si="97"/>
        <v>2039</v>
      </c>
      <c r="I489" s="2361">
        <f t="shared" si="97"/>
        <v>2040</v>
      </c>
      <c r="J489" s="2361">
        <f t="shared" si="97"/>
        <v>2041</v>
      </c>
      <c r="K489" s="2361">
        <f t="shared" si="97"/>
        <v>2042</v>
      </c>
      <c r="L489" s="2361">
        <f t="shared" si="97"/>
        <v>2043</v>
      </c>
      <c r="M489" s="2361">
        <f t="shared" si="97"/>
        <v>2044</v>
      </c>
      <c r="N489" s="2361">
        <f t="shared" si="97"/>
        <v>2045</v>
      </c>
      <c r="O489" s="2361">
        <f t="shared" si="97"/>
        <v>2046</v>
      </c>
      <c r="P489" s="2361">
        <f t="shared" si="97"/>
        <v>2047</v>
      </c>
      <c r="Q489" s="2361">
        <f t="shared" si="97"/>
        <v>2048</v>
      </c>
      <c r="R489" s="2361">
        <f t="shared" si="97"/>
        <v>2049</v>
      </c>
      <c r="S489" s="2365">
        <f t="shared" si="97"/>
        <v>2050</v>
      </c>
      <c r="T489" s="1338"/>
      <c r="U489" s="666"/>
      <c r="V489" s="666"/>
      <c r="W489" s="666"/>
      <c r="X489" s="666"/>
      <c r="Y489" s="666"/>
      <c r="Z489" s="666"/>
      <c r="AA489" s="666"/>
      <c r="AB489" s="666"/>
      <c r="AC489" s="666"/>
    </row>
    <row r="490" spans="1:29" ht="15" thickBot="1" x14ac:dyDescent="0.35">
      <c r="A490" s="1340"/>
      <c r="B490" s="694" t="s">
        <v>24</v>
      </c>
      <c r="C490" s="840" t="str">
        <f>C480</f>
        <v>Scénář s projektem</v>
      </c>
      <c r="D490" s="1256"/>
      <c r="E490" s="2364"/>
      <c r="F490" s="2362"/>
      <c r="G490" s="2362"/>
      <c r="H490" s="2362"/>
      <c r="I490" s="2362"/>
      <c r="J490" s="2362"/>
      <c r="K490" s="2362"/>
      <c r="L490" s="2362"/>
      <c r="M490" s="2362"/>
      <c r="N490" s="2362"/>
      <c r="O490" s="2362"/>
      <c r="P490" s="2362"/>
      <c r="Q490" s="2362"/>
      <c r="R490" s="2362"/>
      <c r="S490" s="2366"/>
      <c r="T490" s="1338"/>
      <c r="U490" s="666"/>
      <c r="V490" s="666"/>
      <c r="W490" s="666"/>
      <c r="X490" s="666"/>
      <c r="Y490" s="666"/>
      <c r="Z490" s="666"/>
      <c r="AA490" s="666"/>
      <c r="AB490" s="666"/>
      <c r="AC490" s="666"/>
    </row>
    <row r="491" spans="1:29" ht="14.25" x14ac:dyDescent="0.3">
      <c r="A491" s="1340"/>
      <c r="B491" s="1251"/>
      <c r="C491" s="607" t="str">
        <f>C481</f>
        <v>ŽELEZNIČNÍ osobní doprava</v>
      </c>
      <c r="D491" s="912"/>
      <c r="E491" s="691"/>
      <c r="F491" s="693"/>
      <c r="G491" s="693"/>
      <c r="H491" s="693"/>
      <c r="I491" s="693"/>
      <c r="J491" s="693"/>
      <c r="K491" s="693"/>
      <c r="L491" s="693"/>
      <c r="M491" s="693"/>
      <c r="N491" s="693"/>
      <c r="O491" s="693"/>
      <c r="P491" s="693"/>
      <c r="Q491" s="693"/>
      <c r="R491" s="693"/>
      <c r="S491" s="693"/>
      <c r="T491" s="2083"/>
      <c r="U491" s="666"/>
      <c r="V491" s="666"/>
      <c r="W491" s="666"/>
      <c r="X491" s="666"/>
      <c r="Y491" s="666"/>
      <c r="Z491" s="666"/>
      <c r="AA491" s="666"/>
      <c r="AB491" s="666"/>
      <c r="AC491" s="666"/>
    </row>
    <row r="492" spans="1:29" ht="14.25" x14ac:dyDescent="0.3">
      <c r="A492" s="1340"/>
      <c r="B492" s="1253"/>
      <c r="C492" s="607" t="str">
        <f t="shared" ref="C492:C497" si="98">C482</f>
        <v>ŽELEZNIČNÍ nákladní doprava</v>
      </c>
      <c r="D492" s="625"/>
      <c r="E492" s="693"/>
      <c r="F492" s="693"/>
      <c r="G492" s="693"/>
      <c r="H492" s="693"/>
      <c r="I492" s="693"/>
      <c r="J492" s="693"/>
      <c r="K492" s="693"/>
      <c r="L492" s="693"/>
      <c r="M492" s="693"/>
      <c r="N492" s="693"/>
      <c r="O492" s="693"/>
      <c r="P492" s="693"/>
      <c r="Q492" s="693"/>
      <c r="R492" s="693"/>
      <c r="S492" s="693"/>
      <c r="T492" s="2083"/>
      <c r="U492" s="666"/>
      <c r="V492" s="666"/>
      <c r="W492" s="666"/>
      <c r="X492" s="666"/>
      <c r="Y492" s="666"/>
      <c r="Z492" s="666"/>
      <c r="AA492" s="666"/>
      <c r="AB492" s="666"/>
      <c r="AC492" s="666"/>
    </row>
    <row r="493" spans="1:29" ht="14.25" x14ac:dyDescent="0.3">
      <c r="A493" s="1340"/>
      <c r="B493" s="1253"/>
      <c r="C493" s="1245" t="str">
        <f t="shared" si="98"/>
        <v>SILNIČNÍ osobní doprava</v>
      </c>
      <c r="D493" s="625"/>
      <c r="E493" s="693"/>
      <c r="F493" s="693"/>
      <c r="G493" s="693"/>
      <c r="H493" s="693"/>
      <c r="I493" s="693"/>
      <c r="J493" s="693"/>
      <c r="K493" s="693"/>
      <c r="L493" s="693"/>
      <c r="M493" s="693"/>
      <c r="N493" s="693"/>
      <c r="O493" s="693"/>
      <c r="P493" s="693"/>
      <c r="Q493" s="693"/>
      <c r="R493" s="693"/>
      <c r="S493" s="693"/>
      <c r="T493" s="2083"/>
      <c r="U493" s="666"/>
      <c r="V493" s="666"/>
      <c r="W493" s="666"/>
      <c r="X493" s="666"/>
      <c r="Y493" s="666"/>
      <c r="Z493" s="666"/>
      <c r="AA493" s="666"/>
      <c r="AB493" s="666"/>
      <c r="AC493" s="666"/>
    </row>
    <row r="494" spans="1:29" ht="14.25" x14ac:dyDescent="0.3">
      <c r="A494" s="1340"/>
      <c r="B494" s="1253"/>
      <c r="C494" s="1245" t="str">
        <f t="shared" si="98"/>
        <v>SILNIČNÍ nákladní doprava</v>
      </c>
      <c r="D494" s="625"/>
      <c r="E494" s="693"/>
      <c r="F494" s="693"/>
      <c r="G494" s="693"/>
      <c r="H494" s="693"/>
      <c r="I494" s="693"/>
      <c r="J494" s="693"/>
      <c r="K494" s="693"/>
      <c r="L494" s="693"/>
      <c r="M494" s="693"/>
      <c r="N494" s="693"/>
      <c r="O494" s="693"/>
      <c r="P494" s="693"/>
      <c r="Q494" s="693"/>
      <c r="R494" s="693"/>
      <c r="S494" s="693"/>
      <c r="T494" s="2083"/>
      <c r="U494" s="666"/>
      <c r="V494" s="666"/>
      <c r="W494" s="666"/>
      <c r="X494" s="666"/>
      <c r="Y494" s="666"/>
      <c r="Z494" s="666"/>
      <c r="AA494" s="666"/>
      <c r="AB494" s="666"/>
      <c r="AC494" s="666"/>
    </row>
    <row r="495" spans="1:29" ht="14.25" x14ac:dyDescent="0.3">
      <c r="A495" s="1340"/>
      <c r="B495" s="1253"/>
      <c r="C495" s="1245" t="str">
        <f t="shared" si="98"/>
        <v>VODNÍ nákladní doprava</v>
      </c>
      <c r="D495" s="625"/>
      <c r="E495" s="693"/>
      <c r="F495" s="693"/>
      <c r="G495" s="693"/>
      <c r="H495" s="693"/>
      <c r="I495" s="693"/>
      <c r="J495" s="693"/>
      <c r="K495" s="693"/>
      <c r="L495" s="693"/>
      <c r="M495" s="693"/>
      <c r="N495" s="693"/>
      <c r="O495" s="693"/>
      <c r="P495" s="693"/>
      <c r="Q495" s="693"/>
      <c r="R495" s="693"/>
      <c r="S495" s="693"/>
      <c r="T495" s="2083"/>
      <c r="U495" s="666"/>
      <c r="V495" s="666"/>
      <c r="W495" s="666"/>
      <c r="X495" s="666"/>
      <c r="Y495" s="666"/>
      <c r="Z495" s="666"/>
      <c r="AA495" s="666"/>
      <c r="AB495" s="666"/>
      <c r="AC495" s="666"/>
    </row>
    <row r="496" spans="1:29" ht="14.25" x14ac:dyDescent="0.3">
      <c r="A496" s="1340"/>
      <c r="B496" s="1253"/>
      <c r="C496" s="1245" t="str">
        <f t="shared" si="98"/>
        <v>OSTATNÍ osobní doprava</v>
      </c>
      <c r="D496" s="625"/>
      <c r="E496" s="693"/>
      <c r="F496" s="693"/>
      <c r="G496" s="693"/>
      <c r="H496" s="693"/>
      <c r="I496" s="693"/>
      <c r="J496" s="693"/>
      <c r="K496" s="693"/>
      <c r="L496" s="693"/>
      <c r="M496" s="693"/>
      <c r="N496" s="693"/>
      <c r="O496" s="693"/>
      <c r="P496" s="693"/>
      <c r="Q496" s="693"/>
      <c r="R496" s="693"/>
      <c r="S496" s="693"/>
      <c r="T496" s="2083"/>
      <c r="U496" s="666"/>
      <c r="V496" s="666"/>
      <c r="W496" s="666"/>
      <c r="X496" s="666"/>
      <c r="Y496" s="666"/>
      <c r="Z496" s="666"/>
      <c r="AA496" s="666"/>
      <c r="AB496" s="666"/>
      <c r="AC496" s="666"/>
    </row>
    <row r="497" spans="1:29" ht="15" thickBot="1" x14ac:dyDescent="0.35">
      <c r="A497" s="1340"/>
      <c r="B497" s="1259"/>
      <c r="C497" s="1248" t="str">
        <f t="shared" si="98"/>
        <v>OSTATNÍ nákladní doprava</v>
      </c>
      <c r="D497" s="1249"/>
      <c r="E497" s="693"/>
      <c r="F497" s="693"/>
      <c r="G497" s="693"/>
      <c r="H497" s="693"/>
      <c r="I497" s="693"/>
      <c r="J497" s="693"/>
      <c r="K497" s="693"/>
      <c r="L497" s="693"/>
      <c r="M497" s="693"/>
      <c r="N497" s="693"/>
      <c r="O497" s="693"/>
      <c r="P497" s="693"/>
      <c r="Q497" s="693"/>
      <c r="R497" s="693"/>
      <c r="S497" s="693"/>
      <c r="T497" s="2083"/>
      <c r="U497" s="666"/>
      <c r="V497" s="666"/>
      <c r="W497" s="666"/>
      <c r="X497" s="666"/>
      <c r="Y497" s="666"/>
      <c r="Z497" s="666"/>
      <c r="AA497" s="666"/>
      <c r="AB497" s="666"/>
      <c r="AC497" s="666"/>
    </row>
    <row r="498" spans="1:29" x14ac:dyDescent="0.3">
      <c r="A498" s="1340"/>
      <c r="B498" s="1344"/>
      <c r="C498" s="1345"/>
      <c r="D498" s="1343"/>
      <c r="E498" s="2077"/>
      <c r="F498" s="2077"/>
      <c r="G498" s="2077"/>
      <c r="H498" s="2077"/>
      <c r="I498" s="2077"/>
      <c r="J498" s="2077"/>
      <c r="K498" s="2077"/>
      <c r="L498" s="2077"/>
      <c r="M498" s="2077"/>
      <c r="N498" s="2077"/>
      <c r="O498" s="2077"/>
      <c r="P498" s="2077"/>
      <c r="Q498" s="2077"/>
      <c r="R498" s="2077"/>
      <c r="S498" s="2077"/>
      <c r="T498" s="1338"/>
      <c r="U498" s="666"/>
      <c r="V498" s="666"/>
      <c r="W498" s="666"/>
      <c r="X498" s="666"/>
      <c r="Y498" s="666"/>
      <c r="Z498" s="666"/>
      <c r="AA498" s="666"/>
      <c r="AB498" s="666"/>
      <c r="AC498" s="666"/>
    </row>
    <row r="499" spans="1:29" ht="14.25" thickBot="1" x14ac:dyDescent="0.35">
      <c r="A499" s="1340"/>
      <c r="B499" s="1344"/>
      <c r="C499" s="1345"/>
      <c r="D499" s="1343"/>
      <c r="E499" s="1346"/>
      <c r="F499" s="1346"/>
      <c r="G499" s="1346"/>
      <c r="H499" s="1346"/>
      <c r="I499" s="1346"/>
      <c r="J499" s="1346"/>
      <c r="K499" s="1346"/>
      <c r="L499" s="1346"/>
      <c r="M499" s="1346"/>
      <c r="N499" s="1346"/>
      <c r="O499" s="1346"/>
      <c r="P499" s="1346"/>
      <c r="Q499" s="1346"/>
      <c r="R499" s="1346"/>
      <c r="S499" s="1346"/>
      <c r="T499" s="1338"/>
      <c r="U499" s="666"/>
      <c r="V499" s="666"/>
      <c r="W499" s="666"/>
      <c r="X499" s="666"/>
      <c r="Y499" s="666"/>
      <c r="Z499" s="666"/>
      <c r="AA499" s="666"/>
      <c r="AB499" s="666"/>
      <c r="AC499" s="666"/>
    </row>
    <row r="500" spans="1:29" ht="14.25" x14ac:dyDescent="0.3">
      <c r="A500" s="1340"/>
      <c r="B500" s="1368" t="s">
        <v>205</v>
      </c>
      <c r="C500" s="1254" t="str">
        <f>C479</f>
        <v>Emise škodlivin - t PM10 / rok</v>
      </c>
      <c r="D500" s="947"/>
      <c r="E500" s="2379">
        <f>E479</f>
        <v>2021</v>
      </c>
      <c r="F500" s="2373">
        <f t="shared" ref="F500:S500" si="99">E500+1</f>
        <v>2022</v>
      </c>
      <c r="G500" s="2373">
        <f t="shared" si="99"/>
        <v>2023</v>
      </c>
      <c r="H500" s="2373">
        <f t="shared" si="99"/>
        <v>2024</v>
      </c>
      <c r="I500" s="2373">
        <f t="shared" si="99"/>
        <v>2025</v>
      </c>
      <c r="J500" s="2373">
        <f t="shared" si="99"/>
        <v>2026</v>
      </c>
      <c r="K500" s="2373">
        <f t="shared" si="99"/>
        <v>2027</v>
      </c>
      <c r="L500" s="2373">
        <f t="shared" si="99"/>
        <v>2028</v>
      </c>
      <c r="M500" s="2373">
        <f t="shared" si="99"/>
        <v>2029</v>
      </c>
      <c r="N500" s="2373">
        <f t="shared" si="99"/>
        <v>2030</v>
      </c>
      <c r="O500" s="2373">
        <f t="shared" si="99"/>
        <v>2031</v>
      </c>
      <c r="P500" s="2373">
        <f t="shared" si="99"/>
        <v>2032</v>
      </c>
      <c r="Q500" s="2373">
        <f t="shared" si="99"/>
        <v>2033</v>
      </c>
      <c r="R500" s="2373">
        <f t="shared" si="99"/>
        <v>2034</v>
      </c>
      <c r="S500" s="2367">
        <f t="shared" si="99"/>
        <v>2035</v>
      </c>
      <c r="T500" s="1338"/>
      <c r="U500" s="666"/>
      <c r="V500" s="666"/>
      <c r="W500" s="666"/>
      <c r="X500" s="666"/>
      <c r="Y500" s="666"/>
      <c r="Z500" s="666"/>
      <c r="AA500" s="666"/>
      <c r="AB500" s="666"/>
      <c r="AC500" s="666"/>
    </row>
    <row r="501" spans="1:29" ht="15" thickBot="1" x14ac:dyDescent="0.35">
      <c r="A501" s="1340"/>
      <c r="B501" s="875" t="s">
        <v>23</v>
      </c>
      <c r="C501" s="876" t="str">
        <f>C469</f>
        <v>Scénář bez projektu</v>
      </c>
      <c r="D501" s="635" t="str">
        <f>D480</f>
        <v>Celkem</v>
      </c>
      <c r="E501" s="2380"/>
      <c r="F501" s="2374"/>
      <c r="G501" s="2374"/>
      <c r="H501" s="2374"/>
      <c r="I501" s="2374"/>
      <c r="J501" s="2374"/>
      <c r="K501" s="2374"/>
      <c r="L501" s="2374"/>
      <c r="M501" s="2374"/>
      <c r="N501" s="2374"/>
      <c r="O501" s="2374"/>
      <c r="P501" s="2374"/>
      <c r="Q501" s="2374"/>
      <c r="R501" s="2374"/>
      <c r="S501" s="2368"/>
      <c r="T501" s="1338"/>
      <c r="U501" s="666"/>
      <c r="V501" s="666"/>
      <c r="W501" s="666"/>
      <c r="X501" s="666"/>
      <c r="Y501" s="666"/>
      <c r="Z501" s="666"/>
      <c r="AA501" s="666"/>
      <c r="AB501" s="666"/>
      <c r="AC501" s="666"/>
    </row>
    <row r="502" spans="1:29" ht="14.25" x14ac:dyDescent="0.3">
      <c r="A502" s="1340"/>
      <c r="B502" s="1251"/>
      <c r="C502" s="607" t="str">
        <f>C491</f>
        <v>ŽELEZNIČNÍ osobní doprava</v>
      </c>
      <c r="D502" s="605">
        <f t="shared" ref="D502:D508" si="100">SUM(E502:S502,E512:S512)</f>
        <v>0</v>
      </c>
      <c r="E502" s="691"/>
      <c r="F502" s="691"/>
      <c r="G502" s="691"/>
      <c r="H502" s="691"/>
      <c r="I502" s="691"/>
      <c r="J502" s="691"/>
      <c r="K502" s="691"/>
      <c r="L502" s="691"/>
      <c r="M502" s="691"/>
      <c r="N502" s="691"/>
      <c r="O502" s="691"/>
      <c r="P502" s="691"/>
      <c r="Q502" s="691"/>
      <c r="R502" s="691"/>
      <c r="S502" s="691"/>
      <c r="T502" s="2083"/>
      <c r="U502" s="666"/>
      <c r="V502" s="666"/>
      <c r="W502" s="666"/>
      <c r="X502" s="666"/>
      <c r="Y502" s="666"/>
      <c r="Z502" s="666"/>
      <c r="AA502" s="666"/>
      <c r="AB502" s="666"/>
      <c r="AC502" s="666"/>
    </row>
    <row r="503" spans="1:29" ht="14.25" x14ac:dyDescent="0.3">
      <c r="A503" s="1340"/>
      <c r="B503" s="1252"/>
      <c r="C503" s="607" t="str">
        <f t="shared" ref="C503:C508" si="101">C492</f>
        <v>ŽELEZNIČNÍ nákladní doprava</v>
      </c>
      <c r="D503" s="608">
        <f t="shared" si="100"/>
        <v>0</v>
      </c>
      <c r="E503" s="691"/>
      <c r="F503" s="691"/>
      <c r="G503" s="691"/>
      <c r="H503" s="691"/>
      <c r="I503" s="691"/>
      <c r="J503" s="691"/>
      <c r="K503" s="691"/>
      <c r="L503" s="691"/>
      <c r="M503" s="691"/>
      <c r="N503" s="691"/>
      <c r="O503" s="691"/>
      <c r="P503" s="691"/>
      <c r="Q503" s="691"/>
      <c r="R503" s="691"/>
      <c r="S503" s="691"/>
      <c r="T503" s="2083"/>
      <c r="U503" s="666"/>
      <c r="V503" s="666"/>
      <c r="W503" s="666"/>
      <c r="X503" s="666"/>
      <c r="Y503" s="666"/>
      <c r="Z503" s="666"/>
      <c r="AA503" s="666"/>
      <c r="AB503" s="666"/>
      <c r="AC503" s="666"/>
    </row>
    <row r="504" spans="1:29" ht="14.25" x14ac:dyDescent="0.3">
      <c r="A504" s="1340"/>
      <c r="B504" s="1252"/>
      <c r="C504" s="1245" t="str">
        <f t="shared" si="101"/>
        <v>SILNIČNÍ osobní doprava</v>
      </c>
      <c r="D504" s="608">
        <f t="shared" si="100"/>
        <v>0</v>
      </c>
      <c r="E504" s="691"/>
      <c r="F504" s="691"/>
      <c r="G504" s="691"/>
      <c r="H504" s="691"/>
      <c r="I504" s="691"/>
      <c r="J504" s="691"/>
      <c r="K504" s="691"/>
      <c r="L504" s="691"/>
      <c r="M504" s="691"/>
      <c r="N504" s="691"/>
      <c r="O504" s="691"/>
      <c r="P504" s="691"/>
      <c r="Q504" s="691"/>
      <c r="R504" s="691"/>
      <c r="S504" s="691"/>
      <c r="T504" s="2083"/>
      <c r="U504" s="666"/>
      <c r="V504" s="666"/>
      <c r="W504" s="666"/>
      <c r="X504" s="666"/>
      <c r="Y504" s="666"/>
      <c r="Z504" s="666"/>
      <c r="AA504" s="666"/>
      <c r="AB504" s="666"/>
      <c r="AC504" s="666"/>
    </row>
    <row r="505" spans="1:29" ht="14.25" x14ac:dyDescent="0.3">
      <c r="A505" s="1340"/>
      <c r="B505" s="1252"/>
      <c r="C505" s="1245" t="str">
        <f t="shared" si="101"/>
        <v>SILNIČNÍ nákladní doprava</v>
      </c>
      <c r="D505" s="608">
        <f t="shared" si="100"/>
        <v>0</v>
      </c>
      <c r="E505" s="691"/>
      <c r="F505" s="691"/>
      <c r="G505" s="691"/>
      <c r="H505" s="691"/>
      <c r="I505" s="691"/>
      <c r="J505" s="691"/>
      <c r="K505" s="691"/>
      <c r="L505" s="691"/>
      <c r="M505" s="691"/>
      <c r="N505" s="691"/>
      <c r="O505" s="691"/>
      <c r="P505" s="691"/>
      <c r="Q505" s="691"/>
      <c r="R505" s="691"/>
      <c r="S505" s="691"/>
      <c r="T505" s="2083"/>
      <c r="U505" s="666"/>
      <c r="V505" s="666"/>
      <c r="W505" s="666"/>
      <c r="X505" s="666"/>
      <c r="Y505" s="666"/>
      <c r="Z505" s="666"/>
      <c r="AA505" s="666"/>
      <c r="AB505" s="666"/>
      <c r="AC505" s="666"/>
    </row>
    <row r="506" spans="1:29" ht="14.25" x14ac:dyDescent="0.3">
      <c r="A506" s="1340"/>
      <c r="B506" s="1252"/>
      <c r="C506" s="1245" t="str">
        <f t="shared" si="101"/>
        <v>VODNÍ nákladní doprava</v>
      </c>
      <c r="D506" s="608">
        <f t="shared" si="100"/>
        <v>0</v>
      </c>
      <c r="E506" s="691"/>
      <c r="F506" s="691"/>
      <c r="G506" s="691"/>
      <c r="H506" s="691"/>
      <c r="I506" s="691"/>
      <c r="J506" s="691"/>
      <c r="K506" s="691"/>
      <c r="L506" s="691"/>
      <c r="M506" s="691"/>
      <c r="N506" s="691"/>
      <c r="O506" s="691"/>
      <c r="P506" s="691"/>
      <c r="Q506" s="691"/>
      <c r="R506" s="691"/>
      <c r="S506" s="691"/>
      <c r="T506" s="2083"/>
      <c r="U506" s="666"/>
      <c r="V506" s="666"/>
      <c r="W506" s="666"/>
      <c r="X506" s="666"/>
      <c r="Y506" s="666"/>
      <c r="Z506" s="666"/>
      <c r="AA506" s="666"/>
      <c r="AB506" s="666"/>
      <c r="AC506" s="666"/>
    </row>
    <row r="507" spans="1:29" ht="14.25" x14ac:dyDescent="0.3">
      <c r="A507" s="1340"/>
      <c r="B507" s="1252"/>
      <c r="C507" s="1245" t="str">
        <f t="shared" si="101"/>
        <v>OSTATNÍ osobní doprava</v>
      </c>
      <c r="D507" s="608">
        <f t="shared" si="100"/>
        <v>0</v>
      </c>
      <c r="E507" s="691"/>
      <c r="F507" s="691"/>
      <c r="G507" s="691"/>
      <c r="H507" s="691"/>
      <c r="I507" s="691"/>
      <c r="J507" s="691"/>
      <c r="K507" s="691"/>
      <c r="L507" s="691"/>
      <c r="M507" s="691"/>
      <c r="N507" s="691"/>
      <c r="O507" s="691"/>
      <c r="P507" s="691"/>
      <c r="Q507" s="691"/>
      <c r="R507" s="691"/>
      <c r="S507" s="691"/>
      <c r="T507" s="2083"/>
      <c r="U507" s="666"/>
      <c r="V507" s="666"/>
      <c r="W507" s="666"/>
      <c r="X507" s="666"/>
      <c r="Y507" s="666"/>
      <c r="Z507" s="666"/>
      <c r="AA507" s="666"/>
      <c r="AB507" s="666"/>
      <c r="AC507" s="666"/>
    </row>
    <row r="508" spans="1:29" ht="15" thickBot="1" x14ac:dyDescent="0.35">
      <c r="A508" s="1340"/>
      <c r="B508" s="1258"/>
      <c r="C508" s="1248" t="str">
        <f t="shared" si="101"/>
        <v>OSTATNÍ nákladní doprava</v>
      </c>
      <c r="D508" s="1250">
        <f t="shared" si="100"/>
        <v>0</v>
      </c>
      <c r="E508" s="691"/>
      <c r="F508" s="691"/>
      <c r="G508" s="691"/>
      <c r="H508" s="691"/>
      <c r="I508" s="691"/>
      <c r="J508" s="691"/>
      <c r="K508" s="691"/>
      <c r="L508" s="691"/>
      <c r="M508" s="691"/>
      <c r="N508" s="691"/>
      <c r="O508" s="691"/>
      <c r="P508" s="691"/>
      <c r="Q508" s="691"/>
      <c r="R508" s="691"/>
      <c r="S508" s="691"/>
      <c r="T508" s="2083"/>
      <c r="U508" s="666"/>
      <c r="V508" s="666"/>
      <c r="W508" s="666"/>
      <c r="X508" s="666"/>
      <c r="Y508" s="666"/>
      <c r="Z508" s="666"/>
      <c r="AA508" s="666"/>
      <c r="AB508" s="666"/>
      <c r="AC508" s="666"/>
    </row>
    <row r="509" spans="1:29" ht="14.25" thickBot="1" x14ac:dyDescent="0.35">
      <c r="A509" s="1340"/>
      <c r="B509" s="1341"/>
      <c r="C509" s="1342"/>
      <c r="D509" s="1343"/>
      <c r="E509" s="2076"/>
      <c r="F509" s="2076"/>
      <c r="G509" s="2076"/>
      <c r="H509" s="2076"/>
      <c r="I509" s="2076"/>
      <c r="J509" s="2076"/>
      <c r="K509" s="2076"/>
      <c r="L509" s="2076"/>
      <c r="M509" s="2076"/>
      <c r="N509" s="2076"/>
      <c r="O509" s="2076"/>
      <c r="P509" s="2076"/>
      <c r="Q509" s="2076"/>
      <c r="R509" s="2076"/>
      <c r="S509" s="2076"/>
      <c r="T509" s="1338"/>
      <c r="U509" s="666"/>
      <c r="V509" s="666"/>
      <c r="W509" s="666"/>
      <c r="X509" s="666"/>
      <c r="Y509" s="666"/>
      <c r="Z509" s="666"/>
      <c r="AA509" s="666"/>
      <c r="AB509" s="666"/>
      <c r="AC509" s="666"/>
    </row>
    <row r="510" spans="1:29" ht="14.25" x14ac:dyDescent="0.3">
      <c r="A510" s="1340"/>
      <c r="B510" s="1368" t="str">
        <f>B500</f>
        <v>6.18.</v>
      </c>
      <c r="C510" s="1254" t="str">
        <f>C489</f>
        <v>Zmírnění změny klimatu - t PM10 / rok</v>
      </c>
      <c r="D510" s="949"/>
      <c r="E510" s="2379">
        <f>S500+1</f>
        <v>2036</v>
      </c>
      <c r="F510" s="2373">
        <f t="shared" ref="F510:S510" si="102">E510+1</f>
        <v>2037</v>
      </c>
      <c r="G510" s="2373">
        <f t="shared" si="102"/>
        <v>2038</v>
      </c>
      <c r="H510" s="2373">
        <f t="shared" si="102"/>
        <v>2039</v>
      </c>
      <c r="I510" s="2373">
        <f t="shared" si="102"/>
        <v>2040</v>
      </c>
      <c r="J510" s="2373">
        <f t="shared" si="102"/>
        <v>2041</v>
      </c>
      <c r="K510" s="2373">
        <f t="shared" si="102"/>
        <v>2042</v>
      </c>
      <c r="L510" s="2373">
        <f t="shared" si="102"/>
        <v>2043</v>
      </c>
      <c r="M510" s="2373">
        <f t="shared" si="102"/>
        <v>2044</v>
      </c>
      <c r="N510" s="2373">
        <f t="shared" si="102"/>
        <v>2045</v>
      </c>
      <c r="O510" s="2373">
        <f t="shared" si="102"/>
        <v>2046</v>
      </c>
      <c r="P510" s="2373">
        <f t="shared" si="102"/>
        <v>2047</v>
      </c>
      <c r="Q510" s="2373">
        <f t="shared" si="102"/>
        <v>2048</v>
      </c>
      <c r="R510" s="2373">
        <f t="shared" si="102"/>
        <v>2049</v>
      </c>
      <c r="S510" s="2367">
        <f t="shared" si="102"/>
        <v>2050</v>
      </c>
      <c r="T510" s="1338"/>
      <c r="U510" s="666"/>
      <c r="V510" s="666"/>
      <c r="W510" s="666"/>
      <c r="X510" s="666"/>
      <c r="Y510" s="666"/>
      <c r="Z510" s="666"/>
      <c r="AA510" s="666"/>
      <c r="AB510" s="666"/>
      <c r="AC510" s="666"/>
    </row>
    <row r="511" spans="1:29" ht="15" thickBot="1" x14ac:dyDescent="0.35">
      <c r="A511" s="1340"/>
      <c r="B511" s="875" t="s">
        <v>24</v>
      </c>
      <c r="C511" s="876" t="str">
        <f>C501</f>
        <v>Scénář bez projektu</v>
      </c>
      <c r="D511" s="1257"/>
      <c r="E511" s="2380"/>
      <c r="F511" s="2374"/>
      <c r="G511" s="2374"/>
      <c r="H511" s="2374"/>
      <c r="I511" s="2374"/>
      <c r="J511" s="2374"/>
      <c r="K511" s="2374"/>
      <c r="L511" s="2374"/>
      <c r="M511" s="2374"/>
      <c r="N511" s="2374"/>
      <c r="O511" s="2374"/>
      <c r="P511" s="2374"/>
      <c r="Q511" s="2374"/>
      <c r="R511" s="2374"/>
      <c r="S511" s="2368"/>
      <c r="T511" s="1338"/>
      <c r="U511" s="666"/>
      <c r="V511" s="666"/>
      <c r="W511" s="666"/>
      <c r="X511" s="666"/>
      <c r="Y511" s="666"/>
      <c r="Z511" s="666"/>
      <c r="AA511" s="666"/>
      <c r="AB511" s="666"/>
      <c r="AC511" s="666"/>
    </row>
    <row r="512" spans="1:29" ht="14.25" x14ac:dyDescent="0.3">
      <c r="A512" s="1340"/>
      <c r="B512" s="1251"/>
      <c r="C512" s="607" t="str">
        <f>C502</f>
        <v>ŽELEZNIČNÍ osobní doprava</v>
      </c>
      <c r="D512" s="912"/>
      <c r="E512" s="691"/>
      <c r="F512" s="693"/>
      <c r="G512" s="693"/>
      <c r="H512" s="693"/>
      <c r="I512" s="693"/>
      <c r="J512" s="693"/>
      <c r="K512" s="693"/>
      <c r="L512" s="693"/>
      <c r="M512" s="693"/>
      <c r="N512" s="693"/>
      <c r="O512" s="693"/>
      <c r="P512" s="693"/>
      <c r="Q512" s="693"/>
      <c r="R512" s="693"/>
      <c r="S512" s="693"/>
      <c r="T512" s="2083"/>
      <c r="U512" s="666"/>
      <c r="V512" s="666"/>
      <c r="W512" s="666"/>
      <c r="X512" s="666"/>
      <c r="Y512" s="666"/>
      <c r="Z512" s="666"/>
      <c r="AA512" s="666"/>
      <c r="AB512" s="666"/>
      <c r="AC512" s="666"/>
    </row>
    <row r="513" spans="1:29" ht="14.25" x14ac:dyDescent="0.3">
      <c r="A513" s="1340"/>
      <c r="B513" s="1253"/>
      <c r="C513" s="607" t="str">
        <f t="shared" ref="C513:C518" si="103">C503</f>
        <v>ŽELEZNIČNÍ nákladní doprava</v>
      </c>
      <c r="D513" s="625"/>
      <c r="E513" s="693"/>
      <c r="F513" s="693"/>
      <c r="G513" s="693"/>
      <c r="H513" s="693"/>
      <c r="I513" s="693"/>
      <c r="J513" s="693"/>
      <c r="K513" s="693"/>
      <c r="L513" s="693"/>
      <c r="M513" s="693"/>
      <c r="N513" s="693"/>
      <c r="O513" s="693"/>
      <c r="P513" s="693"/>
      <c r="Q513" s="693"/>
      <c r="R513" s="693"/>
      <c r="S513" s="693"/>
      <c r="T513" s="2083"/>
      <c r="U513" s="666"/>
      <c r="V513" s="666"/>
      <c r="W513" s="666"/>
      <c r="X513" s="666"/>
      <c r="Y513" s="666"/>
      <c r="Z513" s="666"/>
      <c r="AA513" s="666"/>
      <c r="AB513" s="666"/>
      <c r="AC513" s="666"/>
    </row>
    <row r="514" spans="1:29" ht="14.25" x14ac:dyDescent="0.3">
      <c r="A514" s="1340"/>
      <c r="B514" s="1253"/>
      <c r="C514" s="1245" t="str">
        <f t="shared" si="103"/>
        <v>SILNIČNÍ osobní doprava</v>
      </c>
      <c r="D514" s="625"/>
      <c r="E514" s="693"/>
      <c r="F514" s="693"/>
      <c r="G514" s="693"/>
      <c r="H514" s="693"/>
      <c r="I514" s="693"/>
      <c r="J514" s="693"/>
      <c r="K514" s="693"/>
      <c r="L514" s="693"/>
      <c r="M514" s="693"/>
      <c r="N514" s="693"/>
      <c r="O514" s="693"/>
      <c r="P514" s="693"/>
      <c r="Q514" s="693"/>
      <c r="R514" s="693"/>
      <c r="S514" s="693"/>
      <c r="T514" s="2083"/>
      <c r="U514" s="666"/>
      <c r="V514" s="666"/>
      <c r="W514" s="666"/>
      <c r="X514" s="666"/>
      <c r="Y514" s="666"/>
      <c r="Z514" s="666"/>
      <c r="AA514" s="666"/>
      <c r="AB514" s="666"/>
      <c r="AC514" s="666"/>
    </row>
    <row r="515" spans="1:29" ht="14.25" x14ac:dyDescent="0.3">
      <c r="A515" s="1340"/>
      <c r="B515" s="1253"/>
      <c r="C515" s="1245" t="str">
        <f t="shared" si="103"/>
        <v>SILNIČNÍ nákladní doprava</v>
      </c>
      <c r="D515" s="625"/>
      <c r="E515" s="693"/>
      <c r="F515" s="693"/>
      <c r="G515" s="693"/>
      <c r="H515" s="693"/>
      <c r="I515" s="693"/>
      <c r="J515" s="693"/>
      <c r="K515" s="693"/>
      <c r="L515" s="693"/>
      <c r="M515" s="693"/>
      <c r="N515" s="693"/>
      <c r="O515" s="693"/>
      <c r="P515" s="693"/>
      <c r="Q515" s="693"/>
      <c r="R515" s="693"/>
      <c r="S515" s="693"/>
      <c r="T515" s="2083"/>
      <c r="U515" s="666"/>
      <c r="V515" s="666"/>
      <c r="W515" s="666"/>
      <c r="X515" s="666"/>
      <c r="Y515" s="666"/>
      <c r="Z515" s="666"/>
      <c r="AA515" s="666"/>
      <c r="AB515" s="666"/>
      <c r="AC515" s="666"/>
    </row>
    <row r="516" spans="1:29" ht="14.25" x14ac:dyDescent="0.3">
      <c r="A516" s="1340"/>
      <c r="B516" s="1253"/>
      <c r="C516" s="1245" t="str">
        <f t="shared" si="103"/>
        <v>VODNÍ nákladní doprava</v>
      </c>
      <c r="D516" s="625"/>
      <c r="E516" s="693"/>
      <c r="F516" s="693"/>
      <c r="G516" s="693"/>
      <c r="H516" s="693"/>
      <c r="I516" s="693"/>
      <c r="J516" s="693"/>
      <c r="K516" s="693"/>
      <c r="L516" s="693"/>
      <c r="M516" s="693"/>
      <c r="N516" s="693"/>
      <c r="O516" s="693"/>
      <c r="P516" s="693"/>
      <c r="Q516" s="693"/>
      <c r="R516" s="693"/>
      <c r="S516" s="693"/>
      <c r="T516" s="2083"/>
      <c r="U516" s="666"/>
      <c r="V516" s="666"/>
      <c r="W516" s="666"/>
      <c r="X516" s="666"/>
      <c r="Y516" s="666"/>
      <c r="Z516" s="666"/>
      <c r="AA516" s="666"/>
      <c r="AB516" s="666"/>
      <c r="AC516" s="666"/>
    </row>
    <row r="517" spans="1:29" ht="14.25" x14ac:dyDescent="0.3">
      <c r="A517" s="1340"/>
      <c r="B517" s="1253"/>
      <c r="C517" s="1245" t="str">
        <f t="shared" si="103"/>
        <v>OSTATNÍ osobní doprava</v>
      </c>
      <c r="D517" s="625"/>
      <c r="E517" s="693"/>
      <c r="F517" s="693"/>
      <c r="G517" s="693"/>
      <c r="H517" s="693"/>
      <c r="I517" s="693"/>
      <c r="J517" s="693"/>
      <c r="K517" s="693"/>
      <c r="L517" s="693"/>
      <c r="M517" s="693"/>
      <c r="N517" s="693"/>
      <c r="O517" s="693"/>
      <c r="P517" s="693"/>
      <c r="Q517" s="693"/>
      <c r="R517" s="693"/>
      <c r="S517" s="693"/>
      <c r="T517" s="2083"/>
      <c r="U517" s="666"/>
      <c r="V517" s="666"/>
      <c r="W517" s="666"/>
      <c r="X517" s="666"/>
      <c r="Y517" s="666"/>
      <c r="Z517" s="666"/>
      <c r="AA517" s="666"/>
      <c r="AB517" s="666"/>
      <c r="AC517" s="666"/>
    </row>
    <row r="518" spans="1:29" ht="15" thickBot="1" x14ac:dyDescent="0.35">
      <c r="A518" s="1340"/>
      <c r="B518" s="1259"/>
      <c r="C518" s="1248" t="str">
        <f t="shared" si="103"/>
        <v>OSTATNÍ nákladní doprava</v>
      </c>
      <c r="D518" s="1249"/>
      <c r="E518" s="693"/>
      <c r="F518" s="693"/>
      <c r="G518" s="693"/>
      <c r="H518" s="693"/>
      <c r="I518" s="693"/>
      <c r="J518" s="693"/>
      <c r="K518" s="693"/>
      <c r="L518" s="693"/>
      <c r="M518" s="693"/>
      <c r="N518" s="693"/>
      <c r="O518" s="693"/>
      <c r="P518" s="693"/>
      <c r="Q518" s="693"/>
      <c r="R518" s="693"/>
      <c r="S518" s="693"/>
      <c r="T518" s="2083"/>
      <c r="U518" s="666"/>
      <c r="V518" s="666"/>
      <c r="W518" s="666"/>
      <c r="X518" s="666"/>
      <c r="Y518" s="666"/>
      <c r="Z518" s="666"/>
      <c r="AA518" s="666"/>
      <c r="AB518" s="666"/>
      <c r="AC518" s="666"/>
    </row>
    <row r="519" spans="1:29" ht="14.25" thickBot="1" x14ac:dyDescent="0.35">
      <c r="A519" s="1347"/>
      <c r="B519" s="1348"/>
      <c r="C519" s="1349"/>
      <c r="D519" s="1350"/>
      <c r="E519" s="2078"/>
      <c r="F519" s="2078"/>
      <c r="G519" s="2078"/>
      <c r="H519" s="2078"/>
      <c r="I519" s="2078"/>
      <c r="J519" s="2078"/>
      <c r="K519" s="2078"/>
      <c r="L519" s="2078"/>
      <c r="M519" s="2078"/>
      <c r="N519" s="2078"/>
      <c r="O519" s="2078"/>
      <c r="P519" s="2078"/>
      <c r="Q519" s="2078"/>
      <c r="R519" s="2078"/>
      <c r="S519" s="2078"/>
      <c r="T519" s="1339"/>
      <c r="U519" s="666"/>
      <c r="V519" s="666"/>
      <c r="W519" s="666"/>
      <c r="X519" s="666"/>
      <c r="Y519" s="666"/>
      <c r="Z519" s="666"/>
      <c r="AA519" s="666"/>
      <c r="AB519" s="666"/>
      <c r="AC519" s="666"/>
    </row>
    <row r="520" spans="1:29" ht="15" thickBot="1" x14ac:dyDescent="0.35">
      <c r="A520" s="667"/>
      <c r="B520" s="810"/>
      <c r="D520" s="667"/>
      <c r="E520" s="667"/>
      <c r="F520" s="667"/>
      <c r="G520" s="667"/>
      <c r="H520" s="667"/>
      <c r="I520" s="667"/>
      <c r="J520" s="667"/>
      <c r="K520" s="667"/>
      <c r="L520" s="667"/>
      <c r="M520" s="667"/>
      <c r="N520" s="667"/>
      <c r="O520" s="667"/>
      <c r="P520" s="667"/>
      <c r="Q520" s="667"/>
      <c r="R520" s="667"/>
      <c r="S520" s="667"/>
      <c r="T520" s="666"/>
      <c r="U520" s="666"/>
      <c r="V520" s="666"/>
      <c r="W520" s="666"/>
      <c r="X520" s="666"/>
      <c r="Y520" s="666"/>
      <c r="Z520" s="666"/>
      <c r="AA520" s="666"/>
      <c r="AB520" s="666"/>
      <c r="AC520" s="666"/>
    </row>
    <row r="521" spans="1:29" ht="14.25" x14ac:dyDescent="0.3">
      <c r="A521" s="667"/>
      <c r="B521" s="1369" t="s">
        <v>206</v>
      </c>
      <c r="C521" s="903" t="str">
        <f>IF('0 Úvod'!$M$10="English",Slovnik!$D$387,Slovnik!$C$387)</f>
        <v>Změna měrných hodnot externalit</v>
      </c>
      <c r="D521" s="904"/>
      <c r="E521" s="2409">
        <f>E2</f>
        <v>2021</v>
      </c>
      <c r="F521" s="2409">
        <f t="shared" ref="F521:S521" si="104">E521+1</f>
        <v>2022</v>
      </c>
      <c r="G521" s="2409">
        <f t="shared" si="104"/>
        <v>2023</v>
      </c>
      <c r="H521" s="2409">
        <f t="shared" si="104"/>
        <v>2024</v>
      </c>
      <c r="I521" s="2409">
        <f t="shared" si="104"/>
        <v>2025</v>
      </c>
      <c r="J521" s="2409">
        <f t="shared" si="104"/>
        <v>2026</v>
      </c>
      <c r="K521" s="2409">
        <f t="shared" si="104"/>
        <v>2027</v>
      </c>
      <c r="L521" s="2409">
        <f t="shared" si="104"/>
        <v>2028</v>
      </c>
      <c r="M521" s="2409">
        <f t="shared" si="104"/>
        <v>2029</v>
      </c>
      <c r="N521" s="2409">
        <f t="shared" si="104"/>
        <v>2030</v>
      </c>
      <c r="O521" s="2409">
        <f t="shared" si="104"/>
        <v>2031</v>
      </c>
      <c r="P521" s="2409">
        <f t="shared" si="104"/>
        <v>2032</v>
      </c>
      <c r="Q521" s="2409">
        <f t="shared" si="104"/>
        <v>2033</v>
      </c>
      <c r="R521" s="2409">
        <f t="shared" si="104"/>
        <v>2034</v>
      </c>
      <c r="S521" s="2411">
        <f t="shared" si="104"/>
        <v>2035</v>
      </c>
      <c r="T521" s="669"/>
      <c r="U521" s="669"/>
      <c r="V521" s="669"/>
      <c r="W521" s="669"/>
      <c r="X521" s="669"/>
      <c r="Y521" s="669"/>
      <c r="Z521" s="669"/>
      <c r="AA521" s="669"/>
      <c r="AB521" s="669"/>
      <c r="AC521" s="669"/>
    </row>
    <row r="522" spans="1:29" ht="15" thickBot="1" x14ac:dyDescent="0.35">
      <c r="A522" s="667"/>
      <c r="B522" s="869" t="s">
        <v>23</v>
      </c>
      <c r="C522" s="870"/>
      <c r="D522" s="871" t="str">
        <f>IF('0 Úvod'!$M$10="English",Slovnik!$D$388,Slovnik!$C$388)</f>
        <v>Elasticita</v>
      </c>
      <c r="E522" s="2410"/>
      <c r="F522" s="2410"/>
      <c r="G522" s="2410"/>
      <c r="H522" s="2410"/>
      <c r="I522" s="2410"/>
      <c r="J522" s="2410"/>
      <c r="K522" s="2410"/>
      <c r="L522" s="2410"/>
      <c r="M522" s="2410"/>
      <c r="N522" s="2410"/>
      <c r="O522" s="2410"/>
      <c r="P522" s="2410"/>
      <c r="Q522" s="2410"/>
      <c r="R522" s="2410"/>
      <c r="S522" s="2412"/>
      <c r="T522" s="669"/>
      <c r="U522" s="669"/>
      <c r="V522" s="669"/>
      <c r="W522" s="669"/>
      <c r="X522" s="669"/>
      <c r="Y522" s="669"/>
      <c r="Z522" s="669"/>
      <c r="AA522" s="669"/>
      <c r="AB522" s="669"/>
      <c r="AC522" s="669"/>
    </row>
    <row r="523" spans="1:29" ht="14.25" x14ac:dyDescent="0.3">
      <c r="A523" s="667"/>
      <c r="B523" s="1354"/>
      <c r="C523" s="926" t="str">
        <f>IF('0 Úvod'!$M$10="English",Slovnik!D389,Slovnik!C389)</f>
        <v>Hodnota růstu HDP na hlavu (resp. prognóza)</v>
      </c>
      <c r="D523" s="1357"/>
      <c r="E523" s="1351">
        <v>0</v>
      </c>
      <c r="F523" s="1361">
        <f>IF(HLOOKUP(F$521,'0 Úvod'!$D$56:$N$57,1,TRUE)=F$521,HLOOKUP(F$521,'0 Úvod'!$D$56:$N$57,2,TRUE),0.0236)</f>
        <v>2.3599999999999999E-2</v>
      </c>
      <c r="G523" s="1361">
        <f>IF(HLOOKUP(G$521,'0 Úvod'!$D$56:$N$57,1,TRUE)=G$521,HLOOKUP(G$521,'0 Úvod'!$D$56:$N$57,2,TRUE),0.0236)</f>
        <v>2.3599999999999999E-2</v>
      </c>
      <c r="H523" s="1361">
        <f>IF(HLOOKUP(H$521,'0 Úvod'!$D$56:$N$57,1,TRUE)=H$521,HLOOKUP(H$521,'0 Úvod'!$D$56:$N$57,2,TRUE),0.0236)</f>
        <v>2.3599999999999999E-2</v>
      </c>
      <c r="I523" s="1361">
        <f>IF(HLOOKUP(I$521,'0 Úvod'!$D$56:$N$57,1,TRUE)=I$521,HLOOKUP(I$521,'0 Úvod'!$D$56:$N$57,2,TRUE),0.0236)</f>
        <v>2.3599999999999999E-2</v>
      </c>
      <c r="J523" s="1361">
        <f>IF(HLOOKUP(J$521,'0 Úvod'!$D$56:$N$57,1,TRUE)=J$521,HLOOKUP(J$521,'0 Úvod'!$D$56:$N$57,2,TRUE),0.0236)</f>
        <v>2.3599999999999999E-2</v>
      </c>
      <c r="K523" s="1361">
        <f>IF(HLOOKUP(K$521,'0 Úvod'!$D$56:$N$57,1,TRUE)=K$521,HLOOKUP(K$521,'0 Úvod'!$D$56:$N$57,2,TRUE),0.0236)</f>
        <v>2.3599999999999999E-2</v>
      </c>
      <c r="L523" s="1361">
        <f>IF(HLOOKUP(L$521,'0 Úvod'!$D$56:$N$57,1,TRUE)=L$521,HLOOKUP(L$521,'0 Úvod'!$D$56:$N$57,2,TRUE),0.0236)</f>
        <v>2.3599999999999999E-2</v>
      </c>
      <c r="M523" s="1361">
        <f>IF(HLOOKUP(M$521,'0 Úvod'!$D$56:$N$57,1,TRUE)=M$521,HLOOKUP(M$521,'0 Úvod'!$D$56:$N$57,2,TRUE),0.0236)</f>
        <v>2.3599999999999999E-2</v>
      </c>
      <c r="N523" s="1361">
        <f>IF(HLOOKUP(N$521,'0 Úvod'!$D$56:$N$57,1,TRUE)=N$521,HLOOKUP(N$521,'0 Úvod'!$D$56:$N$57,2,TRUE),0.0236)</f>
        <v>2.3599999999999999E-2</v>
      </c>
      <c r="O523" s="1361">
        <f>IF(HLOOKUP(O$521,'0 Úvod'!$D$56:$N$57,1,TRUE)=O$521,HLOOKUP(O$521,'0 Úvod'!$D$56:$N$57,2,TRUE),0.0236)</f>
        <v>2.3599999999999999E-2</v>
      </c>
      <c r="P523" s="1361">
        <f>IF(HLOOKUP(P$521,'0 Úvod'!$D$56:$N$57,1,TRUE)=P$521,HLOOKUP(P$521,'0 Úvod'!$D$56:$N$57,2,TRUE),0.0236)</f>
        <v>2.3599999999999999E-2</v>
      </c>
      <c r="Q523" s="1361">
        <f>IF(HLOOKUP(Q$521,'0 Úvod'!$D$56:$N$57,1,TRUE)=Q$521,HLOOKUP(Q$521,'0 Úvod'!$D$56:$N$57,2,TRUE),0.0236)</f>
        <v>2.3599999999999999E-2</v>
      </c>
      <c r="R523" s="1361">
        <f>IF(HLOOKUP(R$521,'0 Úvod'!$D$56:$N$57,1,TRUE)=R$521,HLOOKUP(R$521,'0 Úvod'!$D$56:$N$57,2,TRUE),0.0236)</f>
        <v>2.3599999999999999E-2</v>
      </c>
      <c r="S523" s="1362">
        <f>IF(HLOOKUP(S$521,'0 Úvod'!$D$56:$N$57,1,TRUE)=S$521,HLOOKUP(S$521,'0 Úvod'!$D$56:$N$57,2,TRUE),0.0236)</f>
        <v>2.3599999999999999E-2</v>
      </c>
      <c r="T523" s="808"/>
      <c r="U523" s="808"/>
      <c r="V523" s="808"/>
      <c r="W523" s="808"/>
      <c r="X523" s="808"/>
      <c r="Y523" s="808"/>
      <c r="Z523" s="808"/>
      <c r="AA523" s="808"/>
      <c r="AB523" s="808"/>
      <c r="AC523" s="808"/>
    </row>
    <row r="524" spans="1:29" ht="15" thickBot="1" x14ac:dyDescent="0.35">
      <c r="A524" s="667"/>
      <c r="B524" s="1355"/>
      <c r="C524" s="929" t="str">
        <f>IF('0 Úvod'!$M$10="English",Slovnik!D390,Slovnik!C390)</f>
        <v>Výsledný růstový koeficient externalit</v>
      </c>
      <c r="D524" s="1356">
        <v>0.7</v>
      </c>
      <c r="E524" s="1352">
        <f>(1+0.0236*D524)</f>
        <v>1.0165200000000001</v>
      </c>
      <c r="F524" s="1363">
        <f>E524*(1+F523*$D$524)</f>
        <v>1.0333129104000003</v>
      </c>
      <c r="G524" s="1363">
        <f t="shared" ref="G524:S524" si="105">F524*(1+G523*$D$524)</f>
        <v>1.0503832396798083</v>
      </c>
      <c r="H524" s="1363">
        <f t="shared" si="105"/>
        <v>1.0677355707993188</v>
      </c>
      <c r="I524" s="1363">
        <f t="shared" si="105"/>
        <v>1.0853745624289237</v>
      </c>
      <c r="J524" s="1363">
        <f t="shared" si="105"/>
        <v>1.1033049502002497</v>
      </c>
      <c r="K524" s="1363">
        <f t="shared" si="105"/>
        <v>1.1215315479775578</v>
      </c>
      <c r="L524" s="1363">
        <f t="shared" si="105"/>
        <v>1.1400592491501471</v>
      </c>
      <c r="M524" s="1363">
        <f t="shared" si="105"/>
        <v>1.1588930279461076</v>
      </c>
      <c r="N524" s="1363">
        <f t="shared" si="105"/>
        <v>1.1780379407677775</v>
      </c>
      <c r="O524" s="1363">
        <f t="shared" si="105"/>
        <v>1.1974991275492612</v>
      </c>
      <c r="P524" s="1363">
        <f t="shared" si="105"/>
        <v>1.2172818131363752</v>
      </c>
      <c r="Q524" s="1363">
        <f t="shared" si="105"/>
        <v>1.2373913086893882</v>
      </c>
      <c r="R524" s="1363">
        <f t="shared" si="105"/>
        <v>1.257833013108937</v>
      </c>
      <c r="S524" s="1364">
        <f t="shared" si="105"/>
        <v>1.2786124144854967</v>
      </c>
      <c r="T524" s="965"/>
      <c r="U524" s="965"/>
      <c r="V524" s="965"/>
      <c r="W524" s="965"/>
      <c r="X524" s="965"/>
      <c r="Y524" s="965"/>
      <c r="Z524" s="965"/>
      <c r="AA524" s="965"/>
      <c r="AB524" s="965"/>
      <c r="AC524" s="965"/>
    </row>
    <row r="525" spans="1:29" ht="14.25" thickBot="1" x14ac:dyDescent="0.35">
      <c r="A525" s="667"/>
      <c r="B525" s="948"/>
      <c r="C525" s="666"/>
      <c r="D525" s="590"/>
      <c r="E525" s="673"/>
      <c r="F525" s="673"/>
      <c r="G525" s="673"/>
      <c r="H525" s="673"/>
      <c r="I525" s="673"/>
      <c r="J525" s="673"/>
      <c r="K525" s="673"/>
      <c r="L525" s="673"/>
      <c r="M525" s="673"/>
      <c r="N525" s="673"/>
      <c r="O525" s="673"/>
      <c r="P525" s="673"/>
      <c r="Q525" s="673"/>
      <c r="R525" s="673"/>
      <c r="S525" s="673"/>
      <c r="T525" s="590"/>
      <c r="U525" s="590"/>
      <c r="V525" s="590"/>
      <c r="W525" s="590"/>
      <c r="X525" s="590"/>
      <c r="Y525" s="590"/>
      <c r="Z525" s="590"/>
      <c r="AA525" s="590"/>
      <c r="AB525" s="590"/>
      <c r="AC525" s="590"/>
    </row>
    <row r="526" spans="1:29" ht="14.25" x14ac:dyDescent="0.3">
      <c r="A526" s="667"/>
      <c r="B526" s="1369" t="str">
        <f>B521</f>
        <v>6.19.</v>
      </c>
      <c r="C526" s="1353" t="str">
        <f>C521</f>
        <v>Změna měrných hodnot externalit</v>
      </c>
      <c r="D526" s="907"/>
      <c r="E526" s="2413">
        <f>S521+1</f>
        <v>2036</v>
      </c>
      <c r="F526" s="2409">
        <f t="shared" ref="F526:S526" si="106">E526+1</f>
        <v>2037</v>
      </c>
      <c r="G526" s="2409">
        <f t="shared" si="106"/>
        <v>2038</v>
      </c>
      <c r="H526" s="2409">
        <f t="shared" si="106"/>
        <v>2039</v>
      </c>
      <c r="I526" s="2409">
        <f t="shared" si="106"/>
        <v>2040</v>
      </c>
      <c r="J526" s="2409">
        <f t="shared" si="106"/>
        <v>2041</v>
      </c>
      <c r="K526" s="2409">
        <f t="shared" si="106"/>
        <v>2042</v>
      </c>
      <c r="L526" s="2409">
        <f t="shared" si="106"/>
        <v>2043</v>
      </c>
      <c r="M526" s="2409">
        <f t="shared" si="106"/>
        <v>2044</v>
      </c>
      <c r="N526" s="2409">
        <f t="shared" si="106"/>
        <v>2045</v>
      </c>
      <c r="O526" s="2409">
        <f t="shared" si="106"/>
        <v>2046</v>
      </c>
      <c r="P526" s="2409">
        <f t="shared" si="106"/>
        <v>2047</v>
      </c>
      <c r="Q526" s="2409">
        <f t="shared" si="106"/>
        <v>2048</v>
      </c>
      <c r="R526" s="2409">
        <f t="shared" si="106"/>
        <v>2049</v>
      </c>
      <c r="S526" s="2411">
        <f t="shared" si="106"/>
        <v>2050</v>
      </c>
      <c r="T526" s="669"/>
      <c r="U526" s="669"/>
      <c r="V526" s="669"/>
      <c r="W526" s="669"/>
      <c r="X526" s="669"/>
      <c r="Y526" s="669"/>
      <c r="Z526" s="669"/>
      <c r="AA526" s="669"/>
      <c r="AB526" s="669"/>
      <c r="AC526" s="669"/>
    </row>
    <row r="527" spans="1:29" ht="15" thickBot="1" x14ac:dyDescent="0.35">
      <c r="A527" s="667"/>
      <c r="B527" s="869" t="s">
        <v>24</v>
      </c>
      <c r="C527" s="870"/>
      <c r="D527" s="871" t="str">
        <f>D522</f>
        <v>Elasticita</v>
      </c>
      <c r="E527" s="2414"/>
      <c r="F527" s="2410"/>
      <c r="G527" s="2410"/>
      <c r="H527" s="2410"/>
      <c r="I527" s="2410"/>
      <c r="J527" s="2410"/>
      <c r="K527" s="2410"/>
      <c r="L527" s="2410"/>
      <c r="M527" s="2410"/>
      <c r="N527" s="2410"/>
      <c r="O527" s="2410"/>
      <c r="P527" s="2410"/>
      <c r="Q527" s="2410"/>
      <c r="R527" s="2410"/>
      <c r="S527" s="2412"/>
      <c r="T527" s="669"/>
      <c r="U527" s="669"/>
      <c r="V527" s="669"/>
      <c r="W527" s="669"/>
      <c r="X527" s="669"/>
      <c r="Y527" s="669"/>
      <c r="Z527" s="669"/>
      <c r="AA527" s="669"/>
      <c r="AB527" s="669"/>
      <c r="AC527" s="669"/>
    </row>
    <row r="528" spans="1:29" ht="14.25" x14ac:dyDescent="0.3">
      <c r="A528" s="667"/>
      <c r="B528" s="1354"/>
      <c r="C528" s="926" t="str">
        <f>C523</f>
        <v>Hodnota růstu HDP na hlavu (resp. prognóza)</v>
      </c>
      <c r="D528" s="1358"/>
      <c r="E528" s="1365">
        <f>IF(HLOOKUP(E$526,'0 Úvod'!$D$56:$N$57,1,TRUE)=E$526,HLOOKUP(E$526,'0 Úvod'!$D$56:$N$57,2,TRUE),0.0236)</f>
        <v>2.3599999999999999E-2</v>
      </c>
      <c r="F528" s="1361">
        <f>IF(HLOOKUP(F$526,'0 Úvod'!$D$56:$N$57,1,TRUE)=F$526,HLOOKUP(F$526,'0 Úvod'!$D$56:$N$57,2,TRUE),0.0236)</f>
        <v>2.3599999999999999E-2</v>
      </c>
      <c r="G528" s="1361">
        <f>IF(HLOOKUP(G$526,'0 Úvod'!$D$56:$N$57,1,TRUE)=G$526,HLOOKUP(G$526,'0 Úvod'!$D$56:$N$57,2,TRUE),0.0236)</f>
        <v>2.3599999999999999E-2</v>
      </c>
      <c r="H528" s="1361">
        <f>IF(HLOOKUP(H$526,'0 Úvod'!$D$56:$N$57,1,TRUE)=H$526,HLOOKUP(H$526,'0 Úvod'!$D$56:$N$57,2,TRUE),0.0236)</f>
        <v>2.3599999999999999E-2</v>
      </c>
      <c r="I528" s="1361">
        <f>IF(HLOOKUP(I$526,'0 Úvod'!$D$56:$N$57,1,TRUE)=I$526,HLOOKUP(I$526,'0 Úvod'!$D$56:$N$57,2,TRUE),0.0236)</f>
        <v>2.3599999999999999E-2</v>
      </c>
      <c r="J528" s="1361">
        <f>IF(HLOOKUP(J$526,'0 Úvod'!$D$56:$N$57,1,TRUE)=J$526,HLOOKUP(J$526,'0 Úvod'!$D$56:$N$57,2,TRUE),0.0236)</f>
        <v>2.3599999999999999E-2</v>
      </c>
      <c r="K528" s="1361">
        <f>IF(HLOOKUP(K$526,'0 Úvod'!$D$56:$N$57,1,TRUE)=K$526,HLOOKUP(K$526,'0 Úvod'!$D$56:$N$57,2,TRUE),0.0236)</f>
        <v>2.3599999999999999E-2</v>
      </c>
      <c r="L528" s="1361">
        <f>IF(HLOOKUP(L$526,'0 Úvod'!$D$56:$N$57,1,TRUE)=L$526,HLOOKUP(L$526,'0 Úvod'!$D$56:$N$57,2,TRUE),0.0236)</f>
        <v>2.3599999999999999E-2</v>
      </c>
      <c r="M528" s="1361">
        <f>IF(HLOOKUP(M$526,'0 Úvod'!$D$56:$N$57,1,TRUE)=M$526,HLOOKUP(M$526,'0 Úvod'!$D$56:$N$57,2,TRUE),0.0236)</f>
        <v>2.3599999999999999E-2</v>
      </c>
      <c r="N528" s="1361">
        <f>IF(HLOOKUP(N$526,'0 Úvod'!$D$56:$N$57,1,TRUE)=N$526,HLOOKUP(N$526,'0 Úvod'!$D$56:$N$57,2,TRUE),0.0236)</f>
        <v>2.3599999999999999E-2</v>
      </c>
      <c r="O528" s="1361">
        <f>IF(HLOOKUP(O$526,'0 Úvod'!$D$56:$N$57,1,TRUE)=O$526,HLOOKUP(O$526,'0 Úvod'!$D$56:$N$57,2,TRUE),0.0236)</f>
        <v>2.3599999999999999E-2</v>
      </c>
      <c r="P528" s="1361">
        <f>IF(HLOOKUP(P$526,'0 Úvod'!$D$56:$N$57,1,TRUE)=P$526,HLOOKUP(P$526,'0 Úvod'!$D$56:$N$57,2,TRUE),0.0236)</f>
        <v>2.3599999999999999E-2</v>
      </c>
      <c r="Q528" s="1361">
        <f>IF(HLOOKUP(Q$526,'0 Úvod'!$D$56:$N$57,1,TRUE)=Q$526,HLOOKUP(Q$526,'0 Úvod'!$D$56:$N$57,2,TRUE),0.0236)</f>
        <v>2.3599999999999999E-2</v>
      </c>
      <c r="R528" s="1361">
        <f>IF(HLOOKUP(R$526,'0 Úvod'!$D$56:$N$57,1,TRUE)=R$526,HLOOKUP(R$526,'0 Úvod'!$D$56:$N$57,2,TRUE),0.0236)</f>
        <v>2.3599999999999999E-2</v>
      </c>
      <c r="S528" s="1362">
        <f>IF(HLOOKUP(S$526,'0 Úvod'!$D$56:$N$57,1,TRUE)=S$526,HLOOKUP(S$526,'0 Úvod'!$D$56:$N$57,2,TRUE),0.0236)</f>
        <v>2.3599999999999999E-2</v>
      </c>
      <c r="T528" s="808"/>
      <c r="U528" s="808"/>
      <c r="V528" s="808"/>
      <c r="W528" s="808"/>
      <c r="X528" s="808"/>
      <c r="Y528" s="808"/>
      <c r="Z528" s="808"/>
      <c r="AA528" s="808"/>
      <c r="AB528" s="808"/>
      <c r="AC528" s="808"/>
    </row>
    <row r="529" spans="1:29" ht="15" thickBot="1" x14ac:dyDescent="0.35">
      <c r="A529" s="667"/>
      <c r="B529" s="1359"/>
      <c r="C529" s="932" t="str">
        <f>C524</f>
        <v>Výsledný růstový koeficient externalit</v>
      </c>
      <c r="D529" s="1360"/>
      <c r="E529" s="1366">
        <f>S524*(1+E528*$D$524)</f>
        <v>1.2997350915727972</v>
      </c>
      <c r="F529" s="1366">
        <f>E529*(1+F528*$D$524)</f>
        <v>1.32120671528558</v>
      </c>
      <c r="G529" s="1366">
        <f t="shared" ref="G529:S529" si="107">F529*(1+G528*$D$524)</f>
        <v>1.343033050222098</v>
      </c>
      <c r="H529" s="1366">
        <f t="shared" si="107"/>
        <v>1.3652199562117671</v>
      </c>
      <c r="I529" s="1366">
        <f t="shared" si="107"/>
        <v>1.3877733898883855</v>
      </c>
      <c r="J529" s="1366">
        <f t="shared" si="107"/>
        <v>1.4106994062893417</v>
      </c>
      <c r="K529" s="1366">
        <f t="shared" si="107"/>
        <v>1.4340041604812417</v>
      </c>
      <c r="L529" s="1366">
        <f t="shared" si="107"/>
        <v>1.4576939092123919</v>
      </c>
      <c r="M529" s="1366">
        <f t="shared" si="107"/>
        <v>1.4817750125925808</v>
      </c>
      <c r="N529" s="1366">
        <f t="shared" si="107"/>
        <v>1.5062539358006104</v>
      </c>
      <c r="O529" s="1366">
        <f t="shared" si="107"/>
        <v>1.5311372508200367</v>
      </c>
      <c r="P529" s="1366">
        <f t="shared" si="107"/>
        <v>1.5564316382035839</v>
      </c>
      <c r="Q529" s="1366">
        <f t="shared" si="107"/>
        <v>1.5821438888667072</v>
      </c>
      <c r="R529" s="1366">
        <f t="shared" si="107"/>
        <v>1.6082809059107854</v>
      </c>
      <c r="S529" s="1367">
        <f t="shared" si="107"/>
        <v>1.6348497064764318</v>
      </c>
      <c r="T529" s="809"/>
      <c r="U529" s="809"/>
      <c r="V529" s="809"/>
      <c r="W529" s="809"/>
      <c r="X529" s="809"/>
      <c r="Y529" s="809"/>
      <c r="Z529" s="809"/>
      <c r="AA529" s="809"/>
      <c r="AB529" s="809"/>
      <c r="AC529" s="809"/>
    </row>
    <row r="530" spans="1:29" ht="14.25" x14ac:dyDescent="0.3">
      <c r="A530" s="667"/>
      <c r="B530" s="810"/>
      <c r="D530" s="667"/>
      <c r="E530" s="667"/>
      <c r="F530" s="667"/>
      <c r="G530" s="667"/>
      <c r="H530" s="667"/>
      <c r="I530" s="667"/>
      <c r="J530" s="667"/>
      <c r="K530" s="667"/>
      <c r="L530" s="667"/>
      <c r="M530" s="667"/>
      <c r="N530" s="667"/>
      <c r="O530" s="667"/>
      <c r="P530" s="667"/>
      <c r="Q530" s="667"/>
      <c r="R530" s="667"/>
      <c r="S530" s="667"/>
    </row>
    <row r="531" spans="1:29" ht="15" thickBot="1" x14ac:dyDescent="0.35">
      <c r="A531" s="667"/>
      <c r="B531" s="810"/>
      <c r="D531" s="667"/>
      <c r="E531" s="667"/>
      <c r="F531" s="667"/>
      <c r="G531" s="667"/>
      <c r="H531" s="667"/>
      <c r="I531" s="667"/>
      <c r="J531" s="667"/>
      <c r="K531" s="667"/>
      <c r="L531" s="667"/>
      <c r="M531" s="667"/>
      <c r="N531" s="667"/>
      <c r="O531" s="667"/>
      <c r="P531" s="667"/>
      <c r="Q531" s="667"/>
      <c r="R531" s="667"/>
      <c r="S531" s="667"/>
    </row>
    <row r="532" spans="1:29" ht="14.25" customHeight="1" x14ac:dyDescent="0.3">
      <c r="B532" s="2421" t="str">
        <f>IF('0 Úvod'!$M$10="English",Slovnik!$D$391,Slovnik!$C$391)</f>
        <v>Komentáře</v>
      </c>
      <c r="C532" s="2422"/>
      <c r="D532" s="2422"/>
      <c r="E532" s="2422"/>
      <c r="F532" s="2422"/>
      <c r="G532" s="2422"/>
      <c r="H532" s="2422"/>
      <c r="I532" s="2422"/>
      <c r="J532" s="2422"/>
      <c r="K532" s="2422"/>
      <c r="L532" s="2422"/>
      <c r="M532" s="2422"/>
      <c r="N532" s="2422"/>
      <c r="O532" s="2422"/>
      <c r="P532" s="2422"/>
      <c r="Q532" s="2422"/>
      <c r="R532" s="2422"/>
      <c r="S532" s="2423"/>
    </row>
    <row r="533" spans="1:29" ht="15" customHeight="1" thickBot="1" x14ac:dyDescent="0.35">
      <c r="B533" s="2424"/>
      <c r="C533" s="2425"/>
      <c r="D533" s="2425"/>
      <c r="E533" s="2425"/>
      <c r="F533" s="2425"/>
      <c r="G533" s="2425"/>
      <c r="H533" s="2425"/>
      <c r="I533" s="2425"/>
      <c r="J533" s="2425"/>
      <c r="K533" s="2425"/>
      <c r="L533" s="2425"/>
      <c r="M533" s="2425"/>
      <c r="N533" s="2425"/>
      <c r="O533" s="2425"/>
      <c r="P533" s="2425"/>
      <c r="Q533" s="2425"/>
      <c r="R533" s="2425"/>
      <c r="S533" s="2426"/>
    </row>
    <row r="534" spans="1:29" ht="14.25" x14ac:dyDescent="0.3">
      <c r="B534" s="966" t="str">
        <f>IF('0 Úvod'!$M$10="English",Slovnik!$E$378,Slovnik!$E$377)</f>
        <v>Zpracovatel uvede konkrétní hodnoty výstupů z dopravního prognózování použité při výpočtu externích nákladů. Tabulky 6.7. a 6.8. je možné přizpůsobit konkrétnímu projektu, resp. vyplnit pouze řádky týkající se projektu.</v>
      </c>
      <c r="C534" s="967"/>
      <c r="D534" s="968"/>
      <c r="E534" s="968"/>
      <c r="F534" s="968"/>
      <c r="G534" s="969"/>
      <c r="H534" s="970"/>
      <c r="I534" s="970"/>
      <c r="J534" s="970"/>
      <c r="K534" s="970"/>
      <c r="L534" s="970"/>
      <c r="M534" s="970"/>
      <c r="N534" s="970"/>
      <c r="O534" s="970"/>
      <c r="P534" s="971"/>
      <c r="Q534" s="2090"/>
      <c r="R534" s="2090"/>
      <c r="S534" s="2091"/>
    </row>
    <row r="535" spans="1:29" ht="14.25" x14ac:dyDescent="0.3">
      <c r="B535" s="826" t="str">
        <f>IF('0 Úvod'!$M$10="English",Slovnik!$E$381,Slovnik!$E$380)</f>
        <v>V tabulce 6.1. a  6.2. uvede zpracovatel konkrétní výpočet pomocí vzorců, s odkazem na tabulky výkonů (tabulka 6.7. a 6.8.) a měrného ohodnocení (tabulka 6.4., 6.5. a 6.6.). V případě použití jiného způsobu výpočtu musí být tento</v>
      </c>
      <c r="C535" s="972"/>
      <c r="D535" s="973"/>
      <c r="E535" s="973"/>
      <c r="F535" s="973"/>
      <c r="G535" s="974"/>
      <c r="H535" s="975"/>
      <c r="I535" s="975"/>
      <c r="J535" s="975"/>
      <c r="K535" s="975"/>
      <c r="L535" s="975"/>
      <c r="M535" s="975"/>
      <c r="N535" s="975"/>
      <c r="O535" s="975"/>
      <c r="P535" s="976"/>
      <c r="Q535" s="2092"/>
      <c r="R535" s="2092"/>
      <c r="S535" s="2093"/>
    </row>
    <row r="536" spans="1:29" ht="14.25" x14ac:dyDescent="0.3">
      <c r="B536" s="1769" t="str">
        <f>IF('0 Úvod'!$M$10="English",Slovnik!$E$384,Slovnik!$E$383)</f>
        <v>způsob obdobně doložen měrnými hodnotami a jejich zdrojem. Pokud jsou data přímo převzata např. jako výstup z HDM-4 nebo EXNAD, mělo by to být uvedeno a zároveň musí být aplikována změna měrných hodnot dle tab. 6.19.</v>
      </c>
      <c r="C536" s="1773"/>
      <c r="D536" s="973"/>
      <c r="E536" s="973"/>
      <c r="F536" s="973"/>
      <c r="G536" s="974"/>
      <c r="H536" s="973"/>
      <c r="I536" s="973"/>
      <c r="J536" s="973"/>
      <c r="K536" s="973"/>
      <c r="L536" s="973"/>
      <c r="M536" s="973"/>
      <c r="N536" s="973"/>
      <c r="O536" s="973"/>
      <c r="P536" s="1774"/>
      <c r="Q536" s="2092"/>
      <c r="R536" s="2092"/>
      <c r="S536" s="2093"/>
    </row>
    <row r="537" spans="1:29" ht="14.25" x14ac:dyDescent="0.3">
      <c r="B537" s="1876" t="str">
        <f>IF('0 Úvod'!$M$10="English",Slovnik!$E$387,Slovnik!$E$386)</f>
        <v>Pro doložení a kvantifikaci vlivu projektu na zmírnění změny klimatu, resp. znečištění životního prostředí, resp. dílčí výpočty slouží tabulky č. 6.9. - 6.18. Pro lepší oriantaci jsou tabulky každého typu polutantu barevně orámovány.</v>
      </c>
      <c r="C537" s="1771"/>
      <c r="D537" s="1771"/>
      <c r="E537" s="1771"/>
      <c r="F537" s="1771"/>
      <c r="G537" s="1771"/>
      <c r="H537" s="1771"/>
      <c r="I537" s="1771"/>
      <c r="J537" s="1771"/>
      <c r="K537" s="1771"/>
      <c r="L537" s="1771"/>
      <c r="M537" s="1771"/>
      <c r="N537" s="1771"/>
      <c r="O537" s="1771"/>
      <c r="P537" s="1771"/>
      <c r="Q537" s="2094"/>
      <c r="R537" s="2094"/>
      <c r="S537" s="2095"/>
    </row>
    <row r="538" spans="1:29" ht="15" thickBot="1" x14ac:dyDescent="0.35">
      <c r="B538" s="837" t="str">
        <f>IF('0 Úvod'!$M$10="English",Slovnik!$E$390,Slovnik!$E$389)</f>
        <v>Pro navyšování měrných hodnot v čase slouží tabulka 6.19., ve které je třeba správně vyplnit první pole.</v>
      </c>
      <c r="C538" s="1370"/>
      <c r="D538" s="1370"/>
      <c r="E538" s="1370"/>
      <c r="F538" s="1370"/>
      <c r="G538" s="1370"/>
      <c r="H538" s="1370"/>
      <c r="I538" s="1370"/>
      <c r="J538" s="1370"/>
      <c r="K538" s="1370"/>
      <c r="L538" s="1370"/>
      <c r="M538" s="1370"/>
      <c r="N538" s="1370"/>
      <c r="O538" s="1370"/>
      <c r="P538" s="1370"/>
      <c r="Q538" s="2096"/>
      <c r="R538" s="2096"/>
      <c r="S538" s="2097"/>
    </row>
    <row r="539" spans="1:29" ht="14.25" x14ac:dyDescent="0.3">
      <c r="B539" s="2088"/>
      <c r="C539" s="2089"/>
      <c r="D539" s="2089"/>
      <c r="E539" s="2089"/>
      <c r="F539" s="2089"/>
      <c r="G539" s="2089"/>
      <c r="H539" s="2089"/>
      <c r="I539" s="2089"/>
      <c r="J539" s="2089"/>
      <c r="K539" s="2089"/>
      <c r="L539" s="2089"/>
      <c r="M539" s="2089"/>
      <c r="N539" s="2089"/>
      <c r="O539" s="2089"/>
      <c r="P539" s="2089"/>
      <c r="Q539" s="1255"/>
      <c r="R539" s="1255"/>
      <c r="S539" s="1255"/>
    </row>
  </sheetData>
  <sheetProtection algorithmName="SHA-512" hashValue="L9XwxqI10/4CT2fbpu7gya9vfdbfUt0rHjnuZvEL6lvobGsk2pUbB7h9vlgkluhx7fi3yT790b4Pp3VCNMhy8g==" saltValue="VetY78SQ8M2siYRXolNryw==" spinCount="100000" sheet="1" formatCells="0" formatColumns="0" formatRows="0" insertColumns="0" insertRows="0" insertHyperlinks="0" deleteColumns="0" deleteRows="0" sort="0" autoFilter="0" pivotTables="0"/>
  <mergeCells count="597">
    <mergeCell ref="Q500:Q501"/>
    <mergeCell ref="R500:R501"/>
    <mergeCell ref="S500:S501"/>
    <mergeCell ref="E510:E511"/>
    <mergeCell ref="F510:F511"/>
    <mergeCell ref="G510:G511"/>
    <mergeCell ref="H510:H511"/>
    <mergeCell ref="I510:I511"/>
    <mergeCell ref="J510:J511"/>
    <mergeCell ref="K510:K511"/>
    <mergeCell ref="L510:L511"/>
    <mergeCell ref="M510:M511"/>
    <mergeCell ref="N510:N511"/>
    <mergeCell ref="O510:O511"/>
    <mergeCell ref="P510:P511"/>
    <mergeCell ref="Q510:Q511"/>
    <mergeCell ref="R510:R511"/>
    <mergeCell ref="S510:S511"/>
    <mergeCell ref="E500:E501"/>
    <mergeCell ref="F500:F501"/>
    <mergeCell ref="G500:G501"/>
    <mergeCell ref="H500:H501"/>
    <mergeCell ref="I500:I501"/>
    <mergeCell ref="J500:J501"/>
    <mergeCell ref="K500:K501"/>
    <mergeCell ref="L500:L501"/>
    <mergeCell ref="M500:M501"/>
    <mergeCell ref="N479:N480"/>
    <mergeCell ref="O479:O480"/>
    <mergeCell ref="P479:P480"/>
    <mergeCell ref="K479:K480"/>
    <mergeCell ref="L479:L480"/>
    <mergeCell ref="M479:M480"/>
    <mergeCell ref="N500:N501"/>
    <mergeCell ref="O500:O501"/>
    <mergeCell ref="P500:P501"/>
    <mergeCell ref="Q479:Q480"/>
    <mergeCell ref="R479:R480"/>
    <mergeCell ref="S479:S480"/>
    <mergeCell ref="E489:E490"/>
    <mergeCell ref="F489:F490"/>
    <mergeCell ref="G489:G490"/>
    <mergeCell ref="H489:H490"/>
    <mergeCell ref="I489:I490"/>
    <mergeCell ref="J489:J490"/>
    <mergeCell ref="K489:K490"/>
    <mergeCell ref="L489:L490"/>
    <mergeCell ref="M489:M490"/>
    <mergeCell ref="N489:N490"/>
    <mergeCell ref="O489:O490"/>
    <mergeCell ref="P489:P490"/>
    <mergeCell ref="Q489:Q490"/>
    <mergeCell ref="R489:R490"/>
    <mergeCell ref="S489:S490"/>
    <mergeCell ref="E479:E480"/>
    <mergeCell ref="F479:F480"/>
    <mergeCell ref="G479:G480"/>
    <mergeCell ref="H479:H480"/>
    <mergeCell ref="I479:I480"/>
    <mergeCell ref="J479:J480"/>
    <mergeCell ref="Q458:Q459"/>
    <mergeCell ref="R458:R459"/>
    <mergeCell ref="S458:S459"/>
    <mergeCell ref="E468:E469"/>
    <mergeCell ref="F468:F469"/>
    <mergeCell ref="G468:G469"/>
    <mergeCell ref="H468:H469"/>
    <mergeCell ref="I468:I469"/>
    <mergeCell ref="J468:J469"/>
    <mergeCell ref="K468:K469"/>
    <mergeCell ref="L468:L469"/>
    <mergeCell ref="M468:M469"/>
    <mergeCell ref="N468:N469"/>
    <mergeCell ref="O468:O469"/>
    <mergeCell ref="P468:P469"/>
    <mergeCell ref="Q468:Q469"/>
    <mergeCell ref="R468:R469"/>
    <mergeCell ref="S468:S469"/>
    <mergeCell ref="E458:E459"/>
    <mergeCell ref="F458:F459"/>
    <mergeCell ref="G458:G459"/>
    <mergeCell ref="H458:H459"/>
    <mergeCell ref="I458:I459"/>
    <mergeCell ref="J458:J459"/>
    <mergeCell ref="K458:K459"/>
    <mergeCell ref="L458:L459"/>
    <mergeCell ref="M458:M459"/>
    <mergeCell ref="N437:N438"/>
    <mergeCell ref="O437:O438"/>
    <mergeCell ref="P437:P438"/>
    <mergeCell ref="K437:K438"/>
    <mergeCell ref="L437:L438"/>
    <mergeCell ref="M437:M438"/>
    <mergeCell ref="N458:N459"/>
    <mergeCell ref="O458:O459"/>
    <mergeCell ref="P458:P459"/>
    <mergeCell ref="Q437:Q438"/>
    <mergeCell ref="R437:R438"/>
    <mergeCell ref="S437:S438"/>
    <mergeCell ref="E447:E448"/>
    <mergeCell ref="F447:F448"/>
    <mergeCell ref="G447:G448"/>
    <mergeCell ref="H447:H448"/>
    <mergeCell ref="I447:I448"/>
    <mergeCell ref="J447:J448"/>
    <mergeCell ref="K447:K448"/>
    <mergeCell ref="L447:L448"/>
    <mergeCell ref="M447:M448"/>
    <mergeCell ref="N447:N448"/>
    <mergeCell ref="O447:O448"/>
    <mergeCell ref="P447:P448"/>
    <mergeCell ref="Q447:Q448"/>
    <mergeCell ref="R447:R448"/>
    <mergeCell ref="S447:S448"/>
    <mergeCell ref="E437:E438"/>
    <mergeCell ref="F437:F438"/>
    <mergeCell ref="G437:G438"/>
    <mergeCell ref="H437:H438"/>
    <mergeCell ref="I437:I438"/>
    <mergeCell ref="J437:J438"/>
    <mergeCell ref="Q416:Q417"/>
    <mergeCell ref="R416:R417"/>
    <mergeCell ref="S416:S417"/>
    <mergeCell ref="E426:E427"/>
    <mergeCell ref="F426:F427"/>
    <mergeCell ref="G426:G427"/>
    <mergeCell ref="H426:H427"/>
    <mergeCell ref="I426:I427"/>
    <mergeCell ref="J426:J427"/>
    <mergeCell ref="K426:K427"/>
    <mergeCell ref="L426:L427"/>
    <mergeCell ref="M426:M427"/>
    <mergeCell ref="N426:N427"/>
    <mergeCell ref="O426:O427"/>
    <mergeCell ref="P426:P427"/>
    <mergeCell ref="Q426:Q427"/>
    <mergeCell ref="R426:R427"/>
    <mergeCell ref="S426:S427"/>
    <mergeCell ref="E416:E417"/>
    <mergeCell ref="F416:F417"/>
    <mergeCell ref="G416:G417"/>
    <mergeCell ref="H416:H417"/>
    <mergeCell ref="I416:I417"/>
    <mergeCell ref="J416:J417"/>
    <mergeCell ref="K416:K417"/>
    <mergeCell ref="L416:L417"/>
    <mergeCell ref="M416:M417"/>
    <mergeCell ref="N395:N396"/>
    <mergeCell ref="O395:O396"/>
    <mergeCell ref="P395:P396"/>
    <mergeCell ref="K395:K396"/>
    <mergeCell ref="L395:L396"/>
    <mergeCell ref="M395:M396"/>
    <mergeCell ref="N416:N417"/>
    <mergeCell ref="O416:O417"/>
    <mergeCell ref="P416:P417"/>
    <mergeCell ref="Q395:Q396"/>
    <mergeCell ref="R395:R396"/>
    <mergeCell ref="S395:S396"/>
    <mergeCell ref="E405:E406"/>
    <mergeCell ref="F405:F406"/>
    <mergeCell ref="G405:G406"/>
    <mergeCell ref="H405:H406"/>
    <mergeCell ref="I405:I406"/>
    <mergeCell ref="J405:J406"/>
    <mergeCell ref="K405:K406"/>
    <mergeCell ref="L405:L406"/>
    <mergeCell ref="M405:M406"/>
    <mergeCell ref="N405:N406"/>
    <mergeCell ref="O405:O406"/>
    <mergeCell ref="P405:P406"/>
    <mergeCell ref="Q405:Q406"/>
    <mergeCell ref="R405:R406"/>
    <mergeCell ref="S405:S406"/>
    <mergeCell ref="E395:E396"/>
    <mergeCell ref="F395:F396"/>
    <mergeCell ref="G395:G396"/>
    <mergeCell ref="H395:H396"/>
    <mergeCell ref="I395:I396"/>
    <mergeCell ref="J395:J396"/>
    <mergeCell ref="Q374:Q375"/>
    <mergeCell ref="R374:R375"/>
    <mergeCell ref="S374:S375"/>
    <mergeCell ref="E384:E385"/>
    <mergeCell ref="F384:F385"/>
    <mergeCell ref="G384:G385"/>
    <mergeCell ref="H384:H385"/>
    <mergeCell ref="I384:I385"/>
    <mergeCell ref="J384:J385"/>
    <mergeCell ref="K384:K385"/>
    <mergeCell ref="L384:L385"/>
    <mergeCell ref="M384:M385"/>
    <mergeCell ref="N384:N385"/>
    <mergeCell ref="O384:O385"/>
    <mergeCell ref="P384:P385"/>
    <mergeCell ref="Q384:Q385"/>
    <mergeCell ref="R384:R385"/>
    <mergeCell ref="S384:S385"/>
    <mergeCell ref="E374:E375"/>
    <mergeCell ref="F374:F375"/>
    <mergeCell ref="G374:G375"/>
    <mergeCell ref="H374:H375"/>
    <mergeCell ref="I374:I375"/>
    <mergeCell ref="J374:J375"/>
    <mergeCell ref="K374:K375"/>
    <mergeCell ref="L374:L375"/>
    <mergeCell ref="M374:M375"/>
    <mergeCell ref="N353:N354"/>
    <mergeCell ref="O353:O354"/>
    <mergeCell ref="P353:P354"/>
    <mergeCell ref="K353:K354"/>
    <mergeCell ref="L353:L354"/>
    <mergeCell ref="M353:M354"/>
    <mergeCell ref="N374:N375"/>
    <mergeCell ref="O374:O375"/>
    <mergeCell ref="P374:P375"/>
    <mergeCell ref="Q353:Q354"/>
    <mergeCell ref="R353:R354"/>
    <mergeCell ref="S353:S354"/>
    <mergeCell ref="E363:E364"/>
    <mergeCell ref="F363:F364"/>
    <mergeCell ref="G363:G364"/>
    <mergeCell ref="H363:H364"/>
    <mergeCell ref="I363:I364"/>
    <mergeCell ref="J363:J364"/>
    <mergeCell ref="K363:K364"/>
    <mergeCell ref="L363:L364"/>
    <mergeCell ref="M363:M364"/>
    <mergeCell ref="N363:N364"/>
    <mergeCell ref="O363:O364"/>
    <mergeCell ref="P363:P364"/>
    <mergeCell ref="Q363:Q364"/>
    <mergeCell ref="R363:R364"/>
    <mergeCell ref="S363:S364"/>
    <mergeCell ref="E353:E354"/>
    <mergeCell ref="F353:F354"/>
    <mergeCell ref="G353:G354"/>
    <mergeCell ref="H353:H354"/>
    <mergeCell ref="I353:I354"/>
    <mergeCell ref="J353:J354"/>
    <mergeCell ref="N332:N333"/>
    <mergeCell ref="O332:O333"/>
    <mergeCell ref="P332:P333"/>
    <mergeCell ref="Q332:Q333"/>
    <mergeCell ref="R332:R333"/>
    <mergeCell ref="S332:S333"/>
    <mergeCell ref="E342:E343"/>
    <mergeCell ref="F342:F343"/>
    <mergeCell ref="G342:G343"/>
    <mergeCell ref="H342:H343"/>
    <mergeCell ref="I342:I343"/>
    <mergeCell ref="J342:J343"/>
    <mergeCell ref="K342:K343"/>
    <mergeCell ref="L342:L343"/>
    <mergeCell ref="M342:M343"/>
    <mergeCell ref="N342:N343"/>
    <mergeCell ref="O342:O343"/>
    <mergeCell ref="P342:P343"/>
    <mergeCell ref="Q342:Q343"/>
    <mergeCell ref="R342:R343"/>
    <mergeCell ref="S342:S343"/>
    <mergeCell ref="E332:E333"/>
    <mergeCell ref="F332:F333"/>
    <mergeCell ref="G332:G333"/>
    <mergeCell ref="H332:H333"/>
    <mergeCell ref="I332:I333"/>
    <mergeCell ref="J332:J333"/>
    <mergeCell ref="K332:K333"/>
    <mergeCell ref="L332:L333"/>
    <mergeCell ref="M332:M333"/>
    <mergeCell ref="B286:B289"/>
    <mergeCell ref="B290:B291"/>
    <mergeCell ref="B292:B293"/>
    <mergeCell ref="B297:B300"/>
    <mergeCell ref="B301:B304"/>
    <mergeCell ref="B305:B306"/>
    <mergeCell ref="B307:B308"/>
    <mergeCell ref="J321:J322"/>
    <mergeCell ref="K321:K322"/>
    <mergeCell ref="K311:K312"/>
    <mergeCell ref="L311:L312"/>
    <mergeCell ref="M311:M312"/>
    <mergeCell ref="E295:E296"/>
    <mergeCell ref="F295:F296"/>
    <mergeCell ref="G295:G296"/>
    <mergeCell ref="H295:H296"/>
    <mergeCell ref="I295:I296"/>
    <mergeCell ref="J295:J296"/>
    <mergeCell ref="U249:U250"/>
    <mergeCell ref="V249:V250"/>
    <mergeCell ref="V251:V252"/>
    <mergeCell ref="V253:V254"/>
    <mergeCell ref="V255:V256"/>
    <mergeCell ref="V257:V258"/>
    <mergeCell ref="U280:U281"/>
    <mergeCell ref="V280:V281"/>
    <mergeCell ref="V282:V283"/>
    <mergeCell ref="B230:B245"/>
    <mergeCell ref="C232:C233"/>
    <mergeCell ref="C243:C244"/>
    <mergeCell ref="C245:D245"/>
    <mergeCell ref="E233:I233"/>
    <mergeCell ref="V284:V285"/>
    <mergeCell ref="V286:V287"/>
    <mergeCell ref="V288:V289"/>
    <mergeCell ref="B251:B254"/>
    <mergeCell ref="B255:B258"/>
    <mergeCell ref="B259:B260"/>
    <mergeCell ref="B261:B262"/>
    <mergeCell ref="B266:B269"/>
    <mergeCell ref="B270:B273"/>
    <mergeCell ref="B274:B275"/>
    <mergeCell ref="B276:B277"/>
    <mergeCell ref="B282:B285"/>
    <mergeCell ref="P280:P281"/>
    <mergeCell ref="Q280:Q281"/>
    <mergeCell ref="R280:R281"/>
    <mergeCell ref="E280:E281"/>
    <mergeCell ref="F280:F281"/>
    <mergeCell ref="G280:G281"/>
    <mergeCell ref="L264:L265"/>
    <mergeCell ref="J217:J218"/>
    <mergeCell ref="C216:J216"/>
    <mergeCell ref="D219:J219"/>
    <mergeCell ref="D223:J223"/>
    <mergeCell ref="I197:I198"/>
    <mergeCell ref="I200:I201"/>
    <mergeCell ref="J220:J222"/>
    <mergeCell ref="J224:J226"/>
    <mergeCell ref="C240:C242"/>
    <mergeCell ref="C230:I230"/>
    <mergeCell ref="C231:I231"/>
    <mergeCell ref="C239:I239"/>
    <mergeCell ref="B193:B201"/>
    <mergeCell ref="B216:B226"/>
    <mergeCell ref="C234:C236"/>
    <mergeCell ref="C237:C238"/>
    <mergeCell ref="D217:I217"/>
    <mergeCell ref="D220:D222"/>
    <mergeCell ref="E220:E222"/>
    <mergeCell ref="F220:F222"/>
    <mergeCell ref="G220:G222"/>
    <mergeCell ref="D224:D226"/>
    <mergeCell ref="E224:E226"/>
    <mergeCell ref="F224:F226"/>
    <mergeCell ref="B204:B212"/>
    <mergeCell ref="C204:F204"/>
    <mergeCell ref="C205:C206"/>
    <mergeCell ref="E205:F205"/>
    <mergeCell ref="C207:C209"/>
    <mergeCell ref="C210:C212"/>
    <mergeCell ref="D194:H194"/>
    <mergeCell ref="G224:G226"/>
    <mergeCell ref="I194:I195"/>
    <mergeCell ref="D196:I196"/>
    <mergeCell ref="C193:I193"/>
    <mergeCell ref="D199:I199"/>
    <mergeCell ref="B30:B33"/>
    <mergeCell ref="C186:C189"/>
    <mergeCell ref="B179:B189"/>
    <mergeCell ref="D171:E171"/>
    <mergeCell ref="F171:F172"/>
    <mergeCell ref="B170:B176"/>
    <mergeCell ref="C170:F170"/>
    <mergeCell ref="C179:F179"/>
    <mergeCell ref="E180:F180"/>
    <mergeCell ref="C180:C181"/>
    <mergeCell ref="C182:C185"/>
    <mergeCell ref="F173:F175"/>
    <mergeCell ref="B54:B55"/>
    <mergeCell ref="B111:B114"/>
    <mergeCell ref="B73:B76"/>
    <mergeCell ref="B77:B80"/>
    <mergeCell ref="B81:B84"/>
    <mergeCell ref="B85:B88"/>
    <mergeCell ref="B89:B90"/>
    <mergeCell ref="B91:B94"/>
    <mergeCell ref="B107:B110"/>
    <mergeCell ref="B60:B63"/>
    <mergeCell ref="B64:B67"/>
    <mergeCell ref="B133:B136"/>
    <mergeCell ref="K526:K527"/>
    <mergeCell ref="L526:L527"/>
    <mergeCell ref="M526:M527"/>
    <mergeCell ref="N526:N527"/>
    <mergeCell ref="O526:O527"/>
    <mergeCell ref="P526:P527"/>
    <mergeCell ref="Q521:Q522"/>
    <mergeCell ref="R521:R522"/>
    <mergeCell ref="B532:S533"/>
    <mergeCell ref="S521:S522"/>
    <mergeCell ref="E526:E527"/>
    <mergeCell ref="F526:F527"/>
    <mergeCell ref="G526:G527"/>
    <mergeCell ref="H526:H527"/>
    <mergeCell ref="I526:I527"/>
    <mergeCell ref="J526:J527"/>
    <mergeCell ref="J521:J522"/>
    <mergeCell ref="K521:K522"/>
    <mergeCell ref="L521:L522"/>
    <mergeCell ref="M521:M522"/>
    <mergeCell ref="N521:N522"/>
    <mergeCell ref="O521:O522"/>
    <mergeCell ref="Q526:Q527"/>
    <mergeCell ref="R526:R527"/>
    <mergeCell ref="S526:S527"/>
    <mergeCell ref="E521:E522"/>
    <mergeCell ref="F521:F522"/>
    <mergeCell ref="G521:G522"/>
    <mergeCell ref="H521:H522"/>
    <mergeCell ref="I521:I522"/>
    <mergeCell ref="P521:P522"/>
    <mergeCell ref="E311:E312"/>
    <mergeCell ref="F311:F312"/>
    <mergeCell ref="G311:G312"/>
    <mergeCell ref="H311:H312"/>
    <mergeCell ref="I311:I312"/>
    <mergeCell ref="M321:M322"/>
    <mergeCell ref="N321:N322"/>
    <mergeCell ref="O321:O322"/>
    <mergeCell ref="P321:P322"/>
    <mergeCell ref="L321:L322"/>
    <mergeCell ref="Q311:Q312"/>
    <mergeCell ref="R311:R312"/>
    <mergeCell ref="E321:E322"/>
    <mergeCell ref="F321:F322"/>
    <mergeCell ref="G321:G322"/>
    <mergeCell ref="H321:H322"/>
    <mergeCell ref="I321:I322"/>
    <mergeCell ref="K295:K296"/>
    <mergeCell ref="L295:L296"/>
    <mergeCell ref="M295:M296"/>
    <mergeCell ref="Q295:Q296"/>
    <mergeCell ref="J311:J312"/>
    <mergeCell ref="R321:R322"/>
    <mergeCell ref="S321:S322"/>
    <mergeCell ref="R295:R296"/>
    <mergeCell ref="S295:S296"/>
    <mergeCell ref="S311:S312"/>
    <mergeCell ref="Q321:Q322"/>
    <mergeCell ref="N311:N312"/>
    <mergeCell ref="O311:O312"/>
    <mergeCell ref="P311:P312"/>
    <mergeCell ref="N295:N296"/>
    <mergeCell ref="O295:O296"/>
    <mergeCell ref="P295:P296"/>
    <mergeCell ref="H280:H281"/>
    <mergeCell ref="I280:I281"/>
    <mergeCell ref="J280:J281"/>
    <mergeCell ref="K280:K281"/>
    <mergeCell ref="L280:L281"/>
    <mergeCell ref="S280:S281"/>
    <mergeCell ref="M280:M281"/>
    <mergeCell ref="N280:N281"/>
    <mergeCell ref="O280:O281"/>
    <mergeCell ref="Q249:Q250"/>
    <mergeCell ref="R249:R250"/>
    <mergeCell ref="S249:S250"/>
    <mergeCell ref="M249:M250"/>
    <mergeCell ref="N249:N250"/>
    <mergeCell ref="O249:O250"/>
    <mergeCell ref="P249:P250"/>
    <mergeCell ref="R264:R265"/>
    <mergeCell ref="S264:S265"/>
    <mergeCell ref="M264:M265"/>
    <mergeCell ref="N264:N265"/>
    <mergeCell ref="O264:O265"/>
    <mergeCell ref="P264:P265"/>
    <mergeCell ref="Q264:Q265"/>
    <mergeCell ref="J264:J265"/>
    <mergeCell ref="K264:K265"/>
    <mergeCell ref="K249:K250"/>
    <mergeCell ref="L249:L250"/>
    <mergeCell ref="E249:E250"/>
    <mergeCell ref="F249:F250"/>
    <mergeCell ref="G249:G250"/>
    <mergeCell ref="H249:H250"/>
    <mergeCell ref="I249:I250"/>
    <mergeCell ref="J249:J250"/>
    <mergeCell ref="E264:E265"/>
    <mergeCell ref="F264:F265"/>
    <mergeCell ref="G264:G265"/>
    <mergeCell ref="H264:H265"/>
    <mergeCell ref="I264:I265"/>
    <mergeCell ref="R152:R153"/>
    <mergeCell ref="S152:S153"/>
    <mergeCell ref="B154:B157"/>
    <mergeCell ref="B158:B161"/>
    <mergeCell ref="J152:J153"/>
    <mergeCell ref="K152:K153"/>
    <mergeCell ref="L152:L153"/>
    <mergeCell ref="M152:M153"/>
    <mergeCell ref="N152:N153"/>
    <mergeCell ref="O152:O153"/>
    <mergeCell ref="Q140:Q141"/>
    <mergeCell ref="R140:R141"/>
    <mergeCell ref="S140:S141"/>
    <mergeCell ref="B142:B145"/>
    <mergeCell ref="B146:B149"/>
    <mergeCell ref="E152:E153"/>
    <mergeCell ref="F152:F153"/>
    <mergeCell ref="G152:G153"/>
    <mergeCell ref="H152:H153"/>
    <mergeCell ref="I152:I153"/>
    <mergeCell ref="K140:K141"/>
    <mergeCell ref="L140:L141"/>
    <mergeCell ref="M140:M141"/>
    <mergeCell ref="N140:N141"/>
    <mergeCell ref="O140:O141"/>
    <mergeCell ref="P140:P141"/>
    <mergeCell ref="E140:E141"/>
    <mergeCell ref="F140:F141"/>
    <mergeCell ref="G140:G141"/>
    <mergeCell ref="H140:H141"/>
    <mergeCell ref="I140:I141"/>
    <mergeCell ref="J140:J141"/>
    <mergeCell ref="P152:P153"/>
    <mergeCell ref="Q152:Q153"/>
    <mergeCell ref="L105:L106"/>
    <mergeCell ref="M105:M106"/>
    <mergeCell ref="N105:N106"/>
    <mergeCell ref="O105:O106"/>
    <mergeCell ref="E105:E106"/>
    <mergeCell ref="F105:F106"/>
    <mergeCell ref="G105:G106"/>
    <mergeCell ref="H105:H106"/>
    <mergeCell ref="I105:I106"/>
    <mergeCell ref="B115:B118"/>
    <mergeCell ref="B119:B122"/>
    <mergeCell ref="B123:B124"/>
    <mergeCell ref="B125:B128"/>
    <mergeCell ref="B129:B132"/>
    <mergeCell ref="P105:P106"/>
    <mergeCell ref="Q105:Q106"/>
    <mergeCell ref="S71:S72"/>
    <mergeCell ref="B95:B98"/>
    <mergeCell ref="I71:I72"/>
    <mergeCell ref="J71:J72"/>
    <mergeCell ref="K71:K72"/>
    <mergeCell ref="L71:L72"/>
    <mergeCell ref="M71:M72"/>
    <mergeCell ref="N71:N72"/>
    <mergeCell ref="B99:B102"/>
    <mergeCell ref="R105:R106"/>
    <mergeCell ref="S105:S106"/>
    <mergeCell ref="E71:E72"/>
    <mergeCell ref="F71:F72"/>
    <mergeCell ref="G71:G72"/>
    <mergeCell ref="H71:H72"/>
    <mergeCell ref="J105:J106"/>
    <mergeCell ref="K105:K106"/>
    <mergeCell ref="P36:P37"/>
    <mergeCell ref="Q36:Q37"/>
    <mergeCell ref="R36:R37"/>
    <mergeCell ref="R71:R72"/>
    <mergeCell ref="O71:O72"/>
    <mergeCell ref="P71:P72"/>
    <mergeCell ref="Q71:Q72"/>
    <mergeCell ref="S36:S37"/>
    <mergeCell ref="B38:B41"/>
    <mergeCell ref="B56:B59"/>
    <mergeCell ref="J36:J37"/>
    <mergeCell ref="K36:K37"/>
    <mergeCell ref="L36:L37"/>
    <mergeCell ref="M36:M37"/>
    <mergeCell ref="N36:N37"/>
    <mergeCell ref="O36:O37"/>
    <mergeCell ref="E36:E37"/>
    <mergeCell ref="F36:F37"/>
    <mergeCell ref="G36:G37"/>
    <mergeCell ref="H36:H37"/>
    <mergeCell ref="I36:I37"/>
    <mergeCell ref="B42:B45"/>
    <mergeCell ref="B46:B49"/>
    <mergeCell ref="B50:B53"/>
    <mergeCell ref="Q2:Q3"/>
    <mergeCell ref="R2:R3"/>
    <mergeCell ref="S2:S3"/>
    <mergeCell ref="B4:B7"/>
    <mergeCell ref="B8:B11"/>
    <mergeCell ref="B26:B29"/>
    <mergeCell ref="K2:K3"/>
    <mergeCell ref="L2:L3"/>
    <mergeCell ref="M2:M3"/>
    <mergeCell ref="N2:N3"/>
    <mergeCell ref="O2:O3"/>
    <mergeCell ref="P2:P3"/>
    <mergeCell ref="E2:E3"/>
    <mergeCell ref="F2:F3"/>
    <mergeCell ref="G2:G3"/>
    <mergeCell ref="H2:H3"/>
    <mergeCell ref="I2:I3"/>
    <mergeCell ref="J2:J3"/>
    <mergeCell ref="B12:B15"/>
    <mergeCell ref="B16:B19"/>
    <mergeCell ref="B20:B21"/>
    <mergeCell ref="B22:B25"/>
  </mergeCells>
  <printOptions horizontalCentered="1"/>
  <pageMargins left="0.19685039370078741" right="0.15748031496062992" top="0.59055118110236227" bottom="0.59055118110236227" header="0.39370078740157483" footer="0.39370078740157483"/>
  <pageSetup paperSize="9" scale="59" fitToHeight="0" orientation="landscape" r:id="rId1"/>
  <headerFooter alignWithMargins="0">
    <oddFooter>&amp;L&amp;A &amp;P/2&amp;C&amp;D</oddFooter>
  </headerFooter>
  <ignoredErrors>
    <ignoredError sqref="C72 C22 C333" formula="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31">
    <pageSetUpPr fitToPage="1"/>
  </sheetPr>
  <dimension ref="A1:CM3589"/>
  <sheetViews>
    <sheetView defaultGridColor="0" colorId="23" zoomScale="80" zoomScaleNormal="80" zoomScaleSheetLayoutView="70" workbookViewId="0"/>
  </sheetViews>
  <sheetFormatPr defaultRowHeight="13.5" x14ac:dyDescent="0.3"/>
  <cols>
    <col min="1" max="1" width="2.7109375" style="580" customWidth="1"/>
    <col min="2" max="2" width="10.140625" style="580" customWidth="1"/>
    <col min="3" max="3" width="40.42578125" style="580" customWidth="1"/>
    <col min="4" max="4" width="18.7109375" style="580" customWidth="1"/>
    <col min="5" max="5" width="13" style="580" customWidth="1"/>
    <col min="6" max="19" width="11.85546875" style="580" customWidth="1"/>
    <col min="20" max="29" width="10.5703125" style="946" customWidth="1"/>
    <col min="30" max="33" width="7.140625" style="946" customWidth="1"/>
    <col min="34" max="91" width="9.140625" style="946"/>
    <col min="92" max="256" width="9.140625" style="580"/>
    <col min="257" max="257" width="2.7109375" style="580" customWidth="1"/>
    <col min="258" max="258" width="10.140625" style="580" customWidth="1"/>
    <col min="259" max="259" width="40.42578125" style="580" customWidth="1"/>
    <col min="260" max="260" width="18.7109375" style="580" customWidth="1"/>
    <col min="261" max="261" width="13" style="580" customWidth="1"/>
    <col min="262" max="275" width="11.85546875" style="580" customWidth="1"/>
    <col min="276" max="285" width="10.5703125" style="580" customWidth="1"/>
    <col min="286" max="289" width="7.140625" style="580" customWidth="1"/>
    <col min="290" max="512" width="9.140625" style="580"/>
    <col min="513" max="513" width="2.7109375" style="580" customWidth="1"/>
    <col min="514" max="514" width="10.140625" style="580" customWidth="1"/>
    <col min="515" max="515" width="40.42578125" style="580" customWidth="1"/>
    <col min="516" max="516" width="18.7109375" style="580" customWidth="1"/>
    <col min="517" max="517" width="13" style="580" customWidth="1"/>
    <col min="518" max="531" width="11.85546875" style="580" customWidth="1"/>
    <col min="532" max="541" width="10.5703125" style="580" customWidth="1"/>
    <col min="542" max="545" width="7.140625" style="580" customWidth="1"/>
    <col min="546" max="768" width="9.140625" style="580"/>
    <col min="769" max="769" width="2.7109375" style="580" customWidth="1"/>
    <col min="770" max="770" width="10.140625" style="580" customWidth="1"/>
    <col min="771" max="771" width="40.42578125" style="580" customWidth="1"/>
    <col min="772" max="772" width="18.7109375" style="580" customWidth="1"/>
    <col min="773" max="773" width="13" style="580" customWidth="1"/>
    <col min="774" max="787" width="11.85546875" style="580" customWidth="1"/>
    <col min="788" max="797" width="10.5703125" style="580" customWidth="1"/>
    <col min="798" max="801" width="7.140625" style="580" customWidth="1"/>
    <col min="802" max="1024" width="9.140625" style="580"/>
    <col min="1025" max="1025" width="2.7109375" style="580" customWidth="1"/>
    <col min="1026" max="1026" width="10.140625" style="580" customWidth="1"/>
    <col min="1027" max="1027" width="40.42578125" style="580" customWidth="1"/>
    <col min="1028" max="1028" width="18.7109375" style="580" customWidth="1"/>
    <col min="1029" max="1029" width="13" style="580" customWidth="1"/>
    <col min="1030" max="1043" width="11.85546875" style="580" customWidth="1"/>
    <col min="1044" max="1053" width="10.5703125" style="580" customWidth="1"/>
    <col min="1054" max="1057" width="7.140625" style="580" customWidth="1"/>
    <col min="1058" max="1280" width="9.140625" style="580"/>
    <col min="1281" max="1281" width="2.7109375" style="580" customWidth="1"/>
    <col min="1282" max="1282" width="10.140625" style="580" customWidth="1"/>
    <col min="1283" max="1283" width="40.42578125" style="580" customWidth="1"/>
    <col min="1284" max="1284" width="18.7109375" style="580" customWidth="1"/>
    <col min="1285" max="1285" width="13" style="580" customWidth="1"/>
    <col min="1286" max="1299" width="11.85546875" style="580" customWidth="1"/>
    <col min="1300" max="1309" width="10.5703125" style="580" customWidth="1"/>
    <col min="1310" max="1313" width="7.140625" style="580" customWidth="1"/>
    <col min="1314" max="1536" width="9.140625" style="580"/>
    <col min="1537" max="1537" width="2.7109375" style="580" customWidth="1"/>
    <col min="1538" max="1538" width="10.140625" style="580" customWidth="1"/>
    <col min="1539" max="1539" width="40.42578125" style="580" customWidth="1"/>
    <col min="1540" max="1540" width="18.7109375" style="580" customWidth="1"/>
    <col min="1541" max="1541" width="13" style="580" customWidth="1"/>
    <col min="1542" max="1555" width="11.85546875" style="580" customWidth="1"/>
    <col min="1556" max="1565" width="10.5703125" style="580" customWidth="1"/>
    <col min="1566" max="1569" width="7.140625" style="580" customWidth="1"/>
    <col min="1570" max="1792" width="9.140625" style="580"/>
    <col min="1793" max="1793" width="2.7109375" style="580" customWidth="1"/>
    <col min="1794" max="1794" width="10.140625" style="580" customWidth="1"/>
    <col min="1795" max="1795" width="40.42578125" style="580" customWidth="1"/>
    <col min="1796" max="1796" width="18.7109375" style="580" customWidth="1"/>
    <col min="1797" max="1797" width="13" style="580" customWidth="1"/>
    <col min="1798" max="1811" width="11.85546875" style="580" customWidth="1"/>
    <col min="1812" max="1821" width="10.5703125" style="580" customWidth="1"/>
    <col min="1822" max="1825" width="7.140625" style="580" customWidth="1"/>
    <col min="1826" max="2048" width="9.140625" style="580"/>
    <col min="2049" max="2049" width="2.7109375" style="580" customWidth="1"/>
    <col min="2050" max="2050" width="10.140625" style="580" customWidth="1"/>
    <col min="2051" max="2051" width="40.42578125" style="580" customWidth="1"/>
    <col min="2052" max="2052" width="18.7109375" style="580" customWidth="1"/>
    <col min="2053" max="2053" width="13" style="580" customWidth="1"/>
    <col min="2054" max="2067" width="11.85546875" style="580" customWidth="1"/>
    <col min="2068" max="2077" width="10.5703125" style="580" customWidth="1"/>
    <col min="2078" max="2081" width="7.140625" style="580" customWidth="1"/>
    <col min="2082" max="2304" width="9.140625" style="580"/>
    <col min="2305" max="2305" width="2.7109375" style="580" customWidth="1"/>
    <col min="2306" max="2306" width="10.140625" style="580" customWidth="1"/>
    <col min="2307" max="2307" width="40.42578125" style="580" customWidth="1"/>
    <col min="2308" max="2308" width="18.7109375" style="580" customWidth="1"/>
    <col min="2309" max="2309" width="13" style="580" customWidth="1"/>
    <col min="2310" max="2323" width="11.85546875" style="580" customWidth="1"/>
    <col min="2324" max="2333" width="10.5703125" style="580" customWidth="1"/>
    <col min="2334" max="2337" width="7.140625" style="580" customWidth="1"/>
    <col min="2338" max="2560" width="9.140625" style="580"/>
    <col min="2561" max="2561" width="2.7109375" style="580" customWidth="1"/>
    <col min="2562" max="2562" width="10.140625" style="580" customWidth="1"/>
    <col min="2563" max="2563" width="40.42578125" style="580" customWidth="1"/>
    <col min="2564" max="2564" width="18.7109375" style="580" customWidth="1"/>
    <col min="2565" max="2565" width="13" style="580" customWidth="1"/>
    <col min="2566" max="2579" width="11.85546875" style="580" customWidth="1"/>
    <col min="2580" max="2589" width="10.5703125" style="580" customWidth="1"/>
    <col min="2590" max="2593" width="7.140625" style="580" customWidth="1"/>
    <col min="2594" max="2816" width="9.140625" style="580"/>
    <col min="2817" max="2817" width="2.7109375" style="580" customWidth="1"/>
    <col min="2818" max="2818" width="10.140625" style="580" customWidth="1"/>
    <col min="2819" max="2819" width="40.42578125" style="580" customWidth="1"/>
    <col min="2820" max="2820" width="18.7109375" style="580" customWidth="1"/>
    <col min="2821" max="2821" width="13" style="580" customWidth="1"/>
    <col min="2822" max="2835" width="11.85546875" style="580" customWidth="1"/>
    <col min="2836" max="2845" width="10.5703125" style="580" customWidth="1"/>
    <col min="2846" max="2849" width="7.140625" style="580" customWidth="1"/>
    <col min="2850" max="3072" width="9.140625" style="580"/>
    <col min="3073" max="3073" width="2.7109375" style="580" customWidth="1"/>
    <col min="3074" max="3074" width="10.140625" style="580" customWidth="1"/>
    <col min="3075" max="3075" width="40.42578125" style="580" customWidth="1"/>
    <col min="3076" max="3076" width="18.7109375" style="580" customWidth="1"/>
    <col min="3077" max="3077" width="13" style="580" customWidth="1"/>
    <col min="3078" max="3091" width="11.85546875" style="580" customWidth="1"/>
    <col min="3092" max="3101" width="10.5703125" style="580" customWidth="1"/>
    <col min="3102" max="3105" width="7.140625" style="580" customWidth="1"/>
    <col min="3106" max="3328" width="9.140625" style="580"/>
    <col min="3329" max="3329" width="2.7109375" style="580" customWidth="1"/>
    <col min="3330" max="3330" width="10.140625" style="580" customWidth="1"/>
    <col min="3331" max="3331" width="40.42578125" style="580" customWidth="1"/>
    <col min="3332" max="3332" width="18.7109375" style="580" customWidth="1"/>
    <col min="3333" max="3333" width="13" style="580" customWidth="1"/>
    <col min="3334" max="3347" width="11.85546875" style="580" customWidth="1"/>
    <col min="3348" max="3357" width="10.5703125" style="580" customWidth="1"/>
    <col min="3358" max="3361" width="7.140625" style="580" customWidth="1"/>
    <col min="3362" max="3584" width="9.140625" style="580"/>
    <col min="3585" max="3585" width="2.7109375" style="580" customWidth="1"/>
    <col min="3586" max="3586" width="10.140625" style="580" customWidth="1"/>
    <col min="3587" max="3587" width="40.42578125" style="580" customWidth="1"/>
    <col min="3588" max="3588" width="18.7109375" style="580" customWidth="1"/>
    <col min="3589" max="3589" width="13" style="580" customWidth="1"/>
    <col min="3590" max="3603" width="11.85546875" style="580" customWidth="1"/>
    <col min="3604" max="3613" width="10.5703125" style="580" customWidth="1"/>
    <col min="3614" max="3617" width="7.140625" style="580" customWidth="1"/>
    <col min="3618" max="3840" width="9.140625" style="580"/>
    <col min="3841" max="3841" width="2.7109375" style="580" customWidth="1"/>
    <col min="3842" max="3842" width="10.140625" style="580" customWidth="1"/>
    <col min="3843" max="3843" width="40.42578125" style="580" customWidth="1"/>
    <col min="3844" max="3844" width="18.7109375" style="580" customWidth="1"/>
    <col min="3845" max="3845" width="13" style="580" customWidth="1"/>
    <col min="3846" max="3859" width="11.85546875" style="580" customWidth="1"/>
    <col min="3860" max="3869" width="10.5703125" style="580" customWidth="1"/>
    <col min="3870" max="3873" width="7.140625" style="580" customWidth="1"/>
    <col min="3874" max="4096" width="9.140625" style="580"/>
    <col min="4097" max="4097" width="2.7109375" style="580" customWidth="1"/>
    <col min="4098" max="4098" width="10.140625" style="580" customWidth="1"/>
    <col min="4099" max="4099" width="40.42578125" style="580" customWidth="1"/>
    <col min="4100" max="4100" width="18.7109375" style="580" customWidth="1"/>
    <col min="4101" max="4101" width="13" style="580" customWidth="1"/>
    <col min="4102" max="4115" width="11.85546875" style="580" customWidth="1"/>
    <col min="4116" max="4125" width="10.5703125" style="580" customWidth="1"/>
    <col min="4126" max="4129" width="7.140625" style="580" customWidth="1"/>
    <col min="4130" max="4352" width="9.140625" style="580"/>
    <col min="4353" max="4353" width="2.7109375" style="580" customWidth="1"/>
    <col min="4354" max="4354" width="10.140625" style="580" customWidth="1"/>
    <col min="4355" max="4355" width="40.42578125" style="580" customWidth="1"/>
    <col min="4356" max="4356" width="18.7109375" style="580" customWidth="1"/>
    <col min="4357" max="4357" width="13" style="580" customWidth="1"/>
    <col min="4358" max="4371" width="11.85546875" style="580" customWidth="1"/>
    <col min="4372" max="4381" width="10.5703125" style="580" customWidth="1"/>
    <col min="4382" max="4385" width="7.140625" style="580" customWidth="1"/>
    <col min="4386" max="4608" width="9.140625" style="580"/>
    <col min="4609" max="4609" width="2.7109375" style="580" customWidth="1"/>
    <col min="4610" max="4610" width="10.140625" style="580" customWidth="1"/>
    <col min="4611" max="4611" width="40.42578125" style="580" customWidth="1"/>
    <col min="4612" max="4612" width="18.7109375" style="580" customWidth="1"/>
    <col min="4613" max="4613" width="13" style="580" customWidth="1"/>
    <col min="4614" max="4627" width="11.85546875" style="580" customWidth="1"/>
    <col min="4628" max="4637" width="10.5703125" style="580" customWidth="1"/>
    <col min="4638" max="4641" width="7.140625" style="580" customWidth="1"/>
    <col min="4642" max="4864" width="9.140625" style="580"/>
    <col min="4865" max="4865" width="2.7109375" style="580" customWidth="1"/>
    <col min="4866" max="4866" width="10.140625" style="580" customWidth="1"/>
    <col min="4867" max="4867" width="40.42578125" style="580" customWidth="1"/>
    <col min="4868" max="4868" width="18.7109375" style="580" customWidth="1"/>
    <col min="4869" max="4869" width="13" style="580" customWidth="1"/>
    <col min="4870" max="4883" width="11.85546875" style="580" customWidth="1"/>
    <col min="4884" max="4893" width="10.5703125" style="580" customWidth="1"/>
    <col min="4894" max="4897" width="7.140625" style="580" customWidth="1"/>
    <col min="4898" max="5120" width="9.140625" style="580"/>
    <col min="5121" max="5121" width="2.7109375" style="580" customWidth="1"/>
    <col min="5122" max="5122" width="10.140625" style="580" customWidth="1"/>
    <col min="5123" max="5123" width="40.42578125" style="580" customWidth="1"/>
    <col min="5124" max="5124" width="18.7109375" style="580" customWidth="1"/>
    <col min="5125" max="5125" width="13" style="580" customWidth="1"/>
    <col min="5126" max="5139" width="11.85546875" style="580" customWidth="1"/>
    <col min="5140" max="5149" width="10.5703125" style="580" customWidth="1"/>
    <col min="5150" max="5153" width="7.140625" style="580" customWidth="1"/>
    <col min="5154" max="5376" width="9.140625" style="580"/>
    <col min="5377" max="5377" width="2.7109375" style="580" customWidth="1"/>
    <col min="5378" max="5378" width="10.140625" style="580" customWidth="1"/>
    <col min="5379" max="5379" width="40.42578125" style="580" customWidth="1"/>
    <col min="5380" max="5380" width="18.7109375" style="580" customWidth="1"/>
    <col min="5381" max="5381" width="13" style="580" customWidth="1"/>
    <col min="5382" max="5395" width="11.85546875" style="580" customWidth="1"/>
    <col min="5396" max="5405" width="10.5703125" style="580" customWidth="1"/>
    <col min="5406" max="5409" width="7.140625" style="580" customWidth="1"/>
    <col min="5410" max="5632" width="9.140625" style="580"/>
    <col min="5633" max="5633" width="2.7109375" style="580" customWidth="1"/>
    <col min="5634" max="5634" width="10.140625" style="580" customWidth="1"/>
    <col min="5635" max="5635" width="40.42578125" style="580" customWidth="1"/>
    <col min="5636" max="5636" width="18.7109375" style="580" customWidth="1"/>
    <col min="5637" max="5637" width="13" style="580" customWidth="1"/>
    <col min="5638" max="5651" width="11.85546875" style="580" customWidth="1"/>
    <col min="5652" max="5661" width="10.5703125" style="580" customWidth="1"/>
    <col min="5662" max="5665" width="7.140625" style="580" customWidth="1"/>
    <col min="5666" max="5888" width="9.140625" style="580"/>
    <col min="5889" max="5889" width="2.7109375" style="580" customWidth="1"/>
    <col min="5890" max="5890" width="10.140625" style="580" customWidth="1"/>
    <col min="5891" max="5891" width="40.42578125" style="580" customWidth="1"/>
    <col min="5892" max="5892" width="18.7109375" style="580" customWidth="1"/>
    <col min="5893" max="5893" width="13" style="580" customWidth="1"/>
    <col min="5894" max="5907" width="11.85546875" style="580" customWidth="1"/>
    <col min="5908" max="5917" width="10.5703125" style="580" customWidth="1"/>
    <col min="5918" max="5921" width="7.140625" style="580" customWidth="1"/>
    <col min="5922" max="6144" width="9.140625" style="580"/>
    <col min="6145" max="6145" width="2.7109375" style="580" customWidth="1"/>
    <col min="6146" max="6146" width="10.140625" style="580" customWidth="1"/>
    <col min="6147" max="6147" width="40.42578125" style="580" customWidth="1"/>
    <col min="6148" max="6148" width="18.7109375" style="580" customWidth="1"/>
    <col min="6149" max="6149" width="13" style="580" customWidth="1"/>
    <col min="6150" max="6163" width="11.85546875" style="580" customWidth="1"/>
    <col min="6164" max="6173" width="10.5703125" style="580" customWidth="1"/>
    <col min="6174" max="6177" width="7.140625" style="580" customWidth="1"/>
    <col min="6178" max="6400" width="9.140625" style="580"/>
    <col min="6401" max="6401" width="2.7109375" style="580" customWidth="1"/>
    <col min="6402" max="6402" width="10.140625" style="580" customWidth="1"/>
    <col min="6403" max="6403" width="40.42578125" style="580" customWidth="1"/>
    <col min="6404" max="6404" width="18.7109375" style="580" customWidth="1"/>
    <col min="6405" max="6405" width="13" style="580" customWidth="1"/>
    <col min="6406" max="6419" width="11.85546875" style="580" customWidth="1"/>
    <col min="6420" max="6429" width="10.5703125" style="580" customWidth="1"/>
    <col min="6430" max="6433" width="7.140625" style="580" customWidth="1"/>
    <col min="6434" max="6656" width="9.140625" style="580"/>
    <col min="6657" max="6657" width="2.7109375" style="580" customWidth="1"/>
    <col min="6658" max="6658" width="10.140625" style="580" customWidth="1"/>
    <col min="6659" max="6659" width="40.42578125" style="580" customWidth="1"/>
    <col min="6660" max="6660" width="18.7109375" style="580" customWidth="1"/>
    <col min="6661" max="6661" width="13" style="580" customWidth="1"/>
    <col min="6662" max="6675" width="11.85546875" style="580" customWidth="1"/>
    <col min="6676" max="6685" width="10.5703125" style="580" customWidth="1"/>
    <col min="6686" max="6689" width="7.140625" style="580" customWidth="1"/>
    <col min="6690" max="6912" width="9.140625" style="580"/>
    <col min="6913" max="6913" width="2.7109375" style="580" customWidth="1"/>
    <col min="6914" max="6914" width="10.140625" style="580" customWidth="1"/>
    <col min="6915" max="6915" width="40.42578125" style="580" customWidth="1"/>
    <col min="6916" max="6916" width="18.7109375" style="580" customWidth="1"/>
    <col min="6917" max="6917" width="13" style="580" customWidth="1"/>
    <col min="6918" max="6931" width="11.85546875" style="580" customWidth="1"/>
    <col min="6932" max="6941" width="10.5703125" style="580" customWidth="1"/>
    <col min="6942" max="6945" width="7.140625" style="580" customWidth="1"/>
    <col min="6946" max="7168" width="9.140625" style="580"/>
    <col min="7169" max="7169" width="2.7109375" style="580" customWidth="1"/>
    <col min="7170" max="7170" width="10.140625" style="580" customWidth="1"/>
    <col min="7171" max="7171" width="40.42578125" style="580" customWidth="1"/>
    <col min="7172" max="7172" width="18.7109375" style="580" customWidth="1"/>
    <col min="7173" max="7173" width="13" style="580" customWidth="1"/>
    <col min="7174" max="7187" width="11.85546875" style="580" customWidth="1"/>
    <col min="7188" max="7197" width="10.5703125" style="580" customWidth="1"/>
    <col min="7198" max="7201" width="7.140625" style="580" customWidth="1"/>
    <col min="7202" max="7424" width="9.140625" style="580"/>
    <col min="7425" max="7425" width="2.7109375" style="580" customWidth="1"/>
    <col min="7426" max="7426" width="10.140625" style="580" customWidth="1"/>
    <col min="7427" max="7427" width="40.42578125" style="580" customWidth="1"/>
    <col min="7428" max="7428" width="18.7109375" style="580" customWidth="1"/>
    <col min="7429" max="7429" width="13" style="580" customWidth="1"/>
    <col min="7430" max="7443" width="11.85546875" style="580" customWidth="1"/>
    <col min="7444" max="7453" width="10.5703125" style="580" customWidth="1"/>
    <col min="7454" max="7457" width="7.140625" style="580" customWidth="1"/>
    <col min="7458" max="7680" width="9.140625" style="580"/>
    <col min="7681" max="7681" width="2.7109375" style="580" customWidth="1"/>
    <col min="7682" max="7682" width="10.140625" style="580" customWidth="1"/>
    <col min="7683" max="7683" width="40.42578125" style="580" customWidth="1"/>
    <col min="7684" max="7684" width="18.7109375" style="580" customWidth="1"/>
    <col min="7685" max="7685" width="13" style="580" customWidth="1"/>
    <col min="7686" max="7699" width="11.85546875" style="580" customWidth="1"/>
    <col min="7700" max="7709" width="10.5703125" style="580" customWidth="1"/>
    <col min="7710" max="7713" width="7.140625" style="580" customWidth="1"/>
    <col min="7714" max="7936" width="9.140625" style="580"/>
    <col min="7937" max="7937" width="2.7109375" style="580" customWidth="1"/>
    <col min="7938" max="7938" width="10.140625" style="580" customWidth="1"/>
    <col min="7939" max="7939" width="40.42578125" style="580" customWidth="1"/>
    <col min="7940" max="7940" width="18.7109375" style="580" customWidth="1"/>
    <col min="7941" max="7941" width="13" style="580" customWidth="1"/>
    <col min="7942" max="7955" width="11.85546875" style="580" customWidth="1"/>
    <col min="7956" max="7965" width="10.5703125" style="580" customWidth="1"/>
    <col min="7966" max="7969" width="7.140625" style="580" customWidth="1"/>
    <col min="7970" max="8192" width="9.140625" style="580"/>
    <col min="8193" max="8193" width="2.7109375" style="580" customWidth="1"/>
    <col min="8194" max="8194" width="10.140625" style="580" customWidth="1"/>
    <col min="8195" max="8195" width="40.42578125" style="580" customWidth="1"/>
    <col min="8196" max="8196" width="18.7109375" style="580" customWidth="1"/>
    <col min="8197" max="8197" width="13" style="580" customWidth="1"/>
    <col min="8198" max="8211" width="11.85546875" style="580" customWidth="1"/>
    <col min="8212" max="8221" width="10.5703125" style="580" customWidth="1"/>
    <col min="8222" max="8225" width="7.140625" style="580" customWidth="1"/>
    <col min="8226" max="8448" width="9.140625" style="580"/>
    <col min="8449" max="8449" width="2.7109375" style="580" customWidth="1"/>
    <col min="8450" max="8450" width="10.140625" style="580" customWidth="1"/>
    <col min="8451" max="8451" width="40.42578125" style="580" customWidth="1"/>
    <col min="8452" max="8452" width="18.7109375" style="580" customWidth="1"/>
    <col min="8453" max="8453" width="13" style="580" customWidth="1"/>
    <col min="8454" max="8467" width="11.85546875" style="580" customWidth="1"/>
    <col min="8468" max="8477" width="10.5703125" style="580" customWidth="1"/>
    <col min="8478" max="8481" width="7.140625" style="580" customWidth="1"/>
    <col min="8482" max="8704" width="9.140625" style="580"/>
    <col min="8705" max="8705" width="2.7109375" style="580" customWidth="1"/>
    <col min="8706" max="8706" width="10.140625" style="580" customWidth="1"/>
    <col min="8707" max="8707" width="40.42578125" style="580" customWidth="1"/>
    <col min="8708" max="8708" width="18.7109375" style="580" customWidth="1"/>
    <col min="8709" max="8709" width="13" style="580" customWidth="1"/>
    <col min="8710" max="8723" width="11.85546875" style="580" customWidth="1"/>
    <col min="8724" max="8733" width="10.5703125" style="580" customWidth="1"/>
    <col min="8734" max="8737" width="7.140625" style="580" customWidth="1"/>
    <col min="8738" max="8960" width="9.140625" style="580"/>
    <col min="8961" max="8961" width="2.7109375" style="580" customWidth="1"/>
    <col min="8962" max="8962" width="10.140625" style="580" customWidth="1"/>
    <col min="8963" max="8963" width="40.42578125" style="580" customWidth="1"/>
    <col min="8964" max="8964" width="18.7109375" style="580" customWidth="1"/>
    <col min="8965" max="8965" width="13" style="580" customWidth="1"/>
    <col min="8966" max="8979" width="11.85546875" style="580" customWidth="1"/>
    <col min="8980" max="8989" width="10.5703125" style="580" customWidth="1"/>
    <col min="8990" max="8993" width="7.140625" style="580" customWidth="1"/>
    <col min="8994" max="9216" width="9.140625" style="580"/>
    <col min="9217" max="9217" width="2.7109375" style="580" customWidth="1"/>
    <col min="9218" max="9218" width="10.140625" style="580" customWidth="1"/>
    <col min="9219" max="9219" width="40.42578125" style="580" customWidth="1"/>
    <col min="9220" max="9220" width="18.7109375" style="580" customWidth="1"/>
    <col min="9221" max="9221" width="13" style="580" customWidth="1"/>
    <col min="9222" max="9235" width="11.85546875" style="580" customWidth="1"/>
    <col min="9236" max="9245" width="10.5703125" style="580" customWidth="1"/>
    <col min="9246" max="9249" width="7.140625" style="580" customWidth="1"/>
    <col min="9250" max="9472" width="9.140625" style="580"/>
    <col min="9473" max="9473" width="2.7109375" style="580" customWidth="1"/>
    <col min="9474" max="9474" width="10.140625" style="580" customWidth="1"/>
    <col min="9475" max="9475" width="40.42578125" style="580" customWidth="1"/>
    <col min="9476" max="9476" width="18.7109375" style="580" customWidth="1"/>
    <col min="9477" max="9477" width="13" style="580" customWidth="1"/>
    <col min="9478" max="9491" width="11.85546875" style="580" customWidth="1"/>
    <col min="9492" max="9501" width="10.5703125" style="580" customWidth="1"/>
    <col min="9502" max="9505" width="7.140625" style="580" customWidth="1"/>
    <col min="9506" max="9728" width="9.140625" style="580"/>
    <col min="9729" max="9729" width="2.7109375" style="580" customWidth="1"/>
    <col min="9730" max="9730" width="10.140625" style="580" customWidth="1"/>
    <col min="9731" max="9731" width="40.42578125" style="580" customWidth="1"/>
    <col min="9732" max="9732" width="18.7109375" style="580" customWidth="1"/>
    <col min="9733" max="9733" width="13" style="580" customWidth="1"/>
    <col min="9734" max="9747" width="11.85546875" style="580" customWidth="1"/>
    <col min="9748" max="9757" width="10.5703125" style="580" customWidth="1"/>
    <col min="9758" max="9761" width="7.140625" style="580" customWidth="1"/>
    <col min="9762" max="9984" width="9.140625" style="580"/>
    <col min="9985" max="9985" width="2.7109375" style="580" customWidth="1"/>
    <col min="9986" max="9986" width="10.140625" style="580" customWidth="1"/>
    <col min="9987" max="9987" width="40.42578125" style="580" customWidth="1"/>
    <col min="9988" max="9988" width="18.7109375" style="580" customWidth="1"/>
    <col min="9989" max="9989" width="13" style="580" customWidth="1"/>
    <col min="9990" max="10003" width="11.85546875" style="580" customWidth="1"/>
    <col min="10004" max="10013" width="10.5703125" style="580" customWidth="1"/>
    <col min="10014" max="10017" width="7.140625" style="580" customWidth="1"/>
    <col min="10018" max="10240" width="9.140625" style="580"/>
    <col min="10241" max="10241" width="2.7109375" style="580" customWidth="1"/>
    <col min="10242" max="10242" width="10.140625" style="580" customWidth="1"/>
    <col min="10243" max="10243" width="40.42578125" style="580" customWidth="1"/>
    <col min="10244" max="10244" width="18.7109375" style="580" customWidth="1"/>
    <col min="10245" max="10245" width="13" style="580" customWidth="1"/>
    <col min="10246" max="10259" width="11.85546875" style="580" customWidth="1"/>
    <col min="10260" max="10269" width="10.5703125" style="580" customWidth="1"/>
    <col min="10270" max="10273" width="7.140625" style="580" customWidth="1"/>
    <col min="10274" max="10496" width="9.140625" style="580"/>
    <col min="10497" max="10497" width="2.7109375" style="580" customWidth="1"/>
    <col min="10498" max="10498" width="10.140625" style="580" customWidth="1"/>
    <col min="10499" max="10499" width="40.42578125" style="580" customWidth="1"/>
    <col min="10500" max="10500" width="18.7109375" style="580" customWidth="1"/>
    <col min="10501" max="10501" width="13" style="580" customWidth="1"/>
    <col min="10502" max="10515" width="11.85546875" style="580" customWidth="1"/>
    <col min="10516" max="10525" width="10.5703125" style="580" customWidth="1"/>
    <col min="10526" max="10529" width="7.140625" style="580" customWidth="1"/>
    <col min="10530" max="10752" width="9.140625" style="580"/>
    <col min="10753" max="10753" width="2.7109375" style="580" customWidth="1"/>
    <col min="10754" max="10754" width="10.140625" style="580" customWidth="1"/>
    <col min="10755" max="10755" width="40.42578125" style="580" customWidth="1"/>
    <col min="10756" max="10756" width="18.7109375" style="580" customWidth="1"/>
    <col min="10757" max="10757" width="13" style="580" customWidth="1"/>
    <col min="10758" max="10771" width="11.85546875" style="580" customWidth="1"/>
    <col min="10772" max="10781" width="10.5703125" style="580" customWidth="1"/>
    <col min="10782" max="10785" width="7.140625" style="580" customWidth="1"/>
    <col min="10786" max="11008" width="9.140625" style="580"/>
    <col min="11009" max="11009" width="2.7109375" style="580" customWidth="1"/>
    <col min="11010" max="11010" width="10.140625" style="580" customWidth="1"/>
    <col min="11011" max="11011" width="40.42578125" style="580" customWidth="1"/>
    <col min="11012" max="11012" width="18.7109375" style="580" customWidth="1"/>
    <col min="11013" max="11013" width="13" style="580" customWidth="1"/>
    <col min="11014" max="11027" width="11.85546875" style="580" customWidth="1"/>
    <col min="11028" max="11037" width="10.5703125" style="580" customWidth="1"/>
    <col min="11038" max="11041" width="7.140625" style="580" customWidth="1"/>
    <col min="11042" max="11264" width="9.140625" style="580"/>
    <col min="11265" max="11265" width="2.7109375" style="580" customWidth="1"/>
    <col min="11266" max="11266" width="10.140625" style="580" customWidth="1"/>
    <col min="11267" max="11267" width="40.42578125" style="580" customWidth="1"/>
    <col min="11268" max="11268" width="18.7109375" style="580" customWidth="1"/>
    <col min="11269" max="11269" width="13" style="580" customWidth="1"/>
    <col min="11270" max="11283" width="11.85546875" style="580" customWidth="1"/>
    <col min="11284" max="11293" width="10.5703125" style="580" customWidth="1"/>
    <col min="11294" max="11297" width="7.140625" style="580" customWidth="1"/>
    <col min="11298" max="11520" width="9.140625" style="580"/>
    <col min="11521" max="11521" width="2.7109375" style="580" customWidth="1"/>
    <col min="11522" max="11522" width="10.140625" style="580" customWidth="1"/>
    <col min="11523" max="11523" width="40.42578125" style="580" customWidth="1"/>
    <col min="11524" max="11524" width="18.7109375" style="580" customWidth="1"/>
    <col min="11525" max="11525" width="13" style="580" customWidth="1"/>
    <col min="11526" max="11539" width="11.85546875" style="580" customWidth="1"/>
    <col min="11540" max="11549" width="10.5703125" style="580" customWidth="1"/>
    <col min="11550" max="11553" width="7.140625" style="580" customWidth="1"/>
    <col min="11554" max="11776" width="9.140625" style="580"/>
    <col min="11777" max="11777" width="2.7109375" style="580" customWidth="1"/>
    <col min="11778" max="11778" width="10.140625" style="580" customWidth="1"/>
    <col min="11779" max="11779" width="40.42578125" style="580" customWidth="1"/>
    <col min="11780" max="11780" width="18.7109375" style="580" customWidth="1"/>
    <col min="11781" max="11781" width="13" style="580" customWidth="1"/>
    <col min="11782" max="11795" width="11.85546875" style="580" customWidth="1"/>
    <col min="11796" max="11805" width="10.5703125" style="580" customWidth="1"/>
    <col min="11806" max="11809" width="7.140625" style="580" customWidth="1"/>
    <col min="11810" max="12032" width="9.140625" style="580"/>
    <col min="12033" max="12033" width="2.7109375" style="580" customWidth="1"/>
    <col min="12034" max="12034" width="10.140625" style="580" customWidth="1"/>
    <col min="12035" max="12035" width="40.42578125" style="580" customWidth="1"/>
    <col min="12036" max="12036" width="18.7109375" style="580" customWidth="1"/>
    <col min="12037" max="12037" width="13" style="580" customWidth="1"/>
    <col min="12038" max="12051" width="11.85546875" style="580" customWidth="1"/>
    <col min="12052" max="12061" width="10.5703125" style="580" customWidth="1"/>
    <col min="12062" max="12065" width="7.140625" style="580" customWidth="1"/>
    <col min="12066" max="12288" width="9.140625" style="580"/>
    <col min="12289" max="12289" width="2.7109375" style="580" customWidth="1"/>
    <col min="12290" max="12290" width="10.140625" style="580" customWidth="1"/>
    <col min="12291" max="12291" width="40.42578125" style="580" customWidth="1"/>
    <col min="12292" max="12292" width="18.7109375" style="580" customWidth="1"/>
    <col min="12293" max="12293" width="13" style="580" customWidth="1"/>
    <col min="12294" max="12307" width="11.85546875" style="580" customWidth="1"/>
    <col min="12308" max="12317" width="10.5703125" style="580" customWidth="1"/>
    <col min="12318" max="12321" width="7.140625" style="580" customWidth="1"/>
    <col min="12322" max="12544" width="9.140625" style="580"/>
    <col min="12545" max="12545" width="2.7109375" style="580" customWidth="1"/>
    <col min="12546" max="12546" width="10.140625" style="580" customWidth="1"/>
    <col min="12547" max="12547" width="40.42578125" style="580" customWidth="1"/>
    <col min="12548" max="12548" width="18.7109375" style="580" customWidth="1"/>
    <col min="12549" max="12549" width="13" style="580" customWidth="1"/>
    <col min="12550" max="12563" width="11.85546875" style="580" customWidth="1"/>
    <col min="12564" max="12573" width="10.5703125" style="580" customWidth="1"/>
    <col min="12574" max="12577" width="7.140625" style="580" customWidth="1"/>
    <col min="12578" max="12800" width="9.140625" style="580"/>
    <col min="12801" max="12801" width="2.7109375" style="580" customWidth="1"/>
    <col min="12802" max="12802" width="10.140625" style="580" customWidth="1"/>
    <col min="12803" max="12803" width="40.42578125" style="580" customWidth="1"/>
    <col min="12804" max="12804" width="18.7109375" style="580" customWidth="1"/>
    <col min="12805" max="12805" width="13" style="580" customWidth="1"/>
    <col min="12806" max="12819" width="11.85546875" style="580" customWidth="1"/>
    <col min="12820" max="12829" width="10.5703125" style="580" customWidth="1"/>
    <col min="12830" max="12833" width="7.140625" style="580" customWidth="1"/>
    <col min="12834" max="13056" width="9.140625" style="580"/>
    <col min="13057" max="13057" width="2.7109375" style="580" customWidth="1"/>
    <col min="13058" max="13058" width="10.140625" style="580" customWidth="1"/>
    <col min="13059" max="13059" width="40.42578125" style="580" customWidth="1"/>
    <col min="13060" max="13060" width="18.7109375" style="580" customWidth="1"/>
    <col min="13061" max="13061" width="13" style="580" customWidth="1"/>
    <col min="13062" max="13075" width="11.85546875" style="580" customWidth="1"/>
    <col min="13076" max="13085" width="10.5703125" style="580" customWidth="1"/>
    <col min="13086" max="13089" width="7.140625" style="580" customWidth="1"/>
    <col min="13090" max="13312" width="9.140625" style="580"/>
    <col min="13313" max="13313" width="2.7109375" style="580" customWidth="1"/>
    <col min="13314" max="13314" width="10.140625" style="580" customWidth="1"/>
    <col min="13315" max="13315" width="40.42578125" style="580" customWidth="1"/>
    <col min="13316" max="13316" width="18.7109375" style="580" customWidth="1"/>
    <col min="13317" max="13317" width="13" style="580" customWidth="1"/>
    <col min="13318" max="13331" width="11.85546875" style="580" customWidth="1"/>
    <col min="13332" max="13341" width="10.5703125" style="580" customWidth="1"/>
    <col min="13342" max="13345" width="7.140625" style="580" customWidth="1"/>
    <col min="13346" max="13568" width="9.140625" style="580"/>
    <col min="13569" max="13569" width="2.7109375" style="580" customWidth="1"/>
    <col min="13570" max="13570" width="10.140625" style="580" customWidth="1"/>
    <col min="13571" max="13571" width="40.42578125" style="580" customWidth="1"/>
    <col min="13572" max="13572" width="18.7109375" style="580" customWidth="1"/>
    <col min="13573" max="13573" width="13" style="580" customWidth="1"/>
    <col min="13574" max="13587" width="11.85546875" style="580" customWidth="1"/>
    <col min="13588" max="13597" width="10.5703125" style="580" customWidth="1"/>
    <col min="13598" max="13601" width="7.140625" style="580" customWidth="1"/>
    <col min="13602" max="13824" width="9.140625" style="580"/>
    <col min="13825" max="13825" width="2.7109375" style="580" customWidth="1"/>
    <col min="13826" max="13826" width="10.140625" style="580" customWidth="1"/>
    <col min="13827" max="13827" width="40.42578125" style="580" customWidth="1"/>
    <col min="13828" max="13828" width="18.7109375" style="580" customWidth="1"/>
    <col min="13829" max="13829" width="13" style="580" customWidth="1"/>
    <col min="13830" max="13843" width="11.85546875" style="580" customWidth="1"/>
    <col min="13844" max="13853" width="10.5703125" style="580" customWidth="1"/>
    <col min="13854" max="13857" width="7.140625" style="580" customWidth="1"/>
    <col min="13858" max="14080" width="9.140625" style="580"/>
    <col min="14081" max="14081" width="2.7109375" style="580" customWidth="1"/>
    <col min="14082" max="14082" width="10.140625" style="580" customWidth="1"/>
    <col min="14083" max="14083" width="40.42578125" style="580" customWidth="1"/>
    <col min="14084" max="14084" width="18.7109375" style="580" customWidth="1"/>
    <col min="14085" max="14085" width="13" style="580" customWidth="1"/>
    <col min="14086" max="14099" width="11.85546875" style="580" customWidth="1"/>
    <col min="14100" max="14109" width="10.5703125" style="580" customWidth="1"/>
    <col min="14110" max="14113" width="7.140625" style="580" customWidth="1"/>
    <col min="14114" max="14336" width="9.140625" style="580"/>
    <col min="14337" max="14337" width="2.7109375" style="580" customWidth="1"/>
    <col min="14338" max="14338" width="10.140625" style="580" customWidth="1"/>
    <col min="14339" max="14339" width="40.42578125" style="580" customWidth="1"/>
    <col min="14340" max="14340" width="18.7109375" style="580" customWidth="1"/>
    <col min="14341" max="14341" width="13" style="580" customWidth="1"/>
    <col min="14342" max="14355" width="11.85546875" style="580" customWidth="1"/>
    <col min="14356" max="14365" width="10.5703125" style="580" customWidth="1"/>
    <col min="14366" max="14369" width="7.140625" style="580" customWidth="1"/>
    <col min="14370" max="14592" width="9.140625" style="580"/>
    <col min="14593" max="14593" width="2.7109375" style="580" customWidth="1"/>
    <col min="14594" max="14594" width="10.140625" style="580" customWidth="1"/>
    <col min="14595" max="14595" width="40.42578125" style="580" customWidth="1"/>
    <col min="14596" max="14596" width="18.7109375" style="580" customWidth="1"/>
    <col min="14597" max="14597" width="13" style="580" customWidth="1"/>
    <col min="14598" max="14611" width="11.85546875" style="580" customWidth="1"/>
    <col min="14612" max="14621" width="10.5703125" style="580" customWidth="1"/>
    <col min="14622" max="14625" width="7.140625" style="580" customWidth="1"/>
    <col min="14626" max="14848" width="9.140625" style="580"/>
    <col min="14849" max="14849" width="2.7109375" style="580" customWidth="1"/>
    <col min="14850" max="14850" width="10.140625" style="580" customWidth="1"/>
    <col min="14851" max="14851" width="40.42578125" style="580" customWidth="1"/>
    <col min="14852" max="14852" width="18.7109375" style="580" customWidth="1"/>
    <col min="14853" max="14853" width="13" style="580" customWidth="1"/>
    <col min="14854" max="14867" width="11.85546875" style="580" customWidth="1"/>
    <col min="14868" max="14877" width="10.5703125" style="580" customWidth="1"/>
    <col min="14878" max="14881" width="7.140625" style="580" customWidth="1"/>
    <col min="14882" max="15104" width="9.140625" style="580"/>
    <col min="15105" max="15105" width="2.7109375" style="580" customWidth="1"/>
    <col min="15106" max="15106" width="10.140625" style="580" customWidth="1"/>
    <col min="15107" max="15107" width="40.42578125" style="580" customWidth="1"/>
    <col min="15108" max="15108" width="18.7109375" style="580" customWidth="1"/>
    <col min="15109" max="15109" width="13" style="580" customWidth="1"/>
    <col min="15110" max="15123" width="11.85546875" style="580" customWidth="1"/>
    <col min="15124" max="15133" width="10.5703125" style="580" customWidth="1"/>
    <col min="15134" max="15137" width="7.140625" style="580" customWidth="1"/>
    <col min="15138" max="15360" width="9.140625" style="580"/>
    <col min="15361" max="15361" width="2.7109375" style="580" customWidth="1"/>
    <col min="15362" max="15362" width="10.140625" style="580" customWidth="1"/>
    <col min="15363" max="15363" width="40.42578125" style="580" customWidth="1"/>
    <col min="15364" max="15364" width="18.7109375" style="580" customWidth="1"/>
    <col min="15365" max="15365" width="13" style="580" customWidth="1"/>
    <col min="15366" max="15379" width="11.85546875" style="580" customWidth="1"/>
    <col min="15380" max="15389" width="10.5703125" style="580" customWidth="1"/>
    <col min="15390" max="15393" width="7.140625" style="580" customWidth="1"/>
    <col min="15394" max="15616" width="9.140625" style="580"/>
    <col min="15617" max="15617" width="2.7109375" style="580" customWidth="1"/>
    <col min="15618" max="15618" width="10.140625" style="580" customWidth="1"/>
    <col min="15619" max="15619" width="40.42578125" style="580" customWidth="1"/>
    <col min="15620" max="15620" width="18.7109375" style="580" customWidth="1"/>
    <col min="15621" max="15621" width="13" style="580" customWidth="1"/>
    <col min="15622" max="15635" width="11.85546875" style="580" customWidth="1"/>
    <col min="15636" max="15645" width="10.5703125" style="580" customWidth="1"/>
    <col min="15646" max="15649" width="7.140625" style="580" customWidth="1"/>
    <col min="15650" max="15872" width="9.140625" style="580"/>
    <col min="15873" max="15873" width="2.7109375" style="580" customWidth="1"/>
    <col min="15874" max="15874" width="10.140625" style="580" customWidth="1"/>
    <col min="15875" max="15875" width="40.42578125" style="580" customWidth="1"/>
    <col min="15876" max="15876" width="18.7109375" style="580" customWidth="1"/>
    <col min="15877" max="15877" width="13" style="580" customWidth="1"/>
    <col min="15878" max="15891" width="11.85546875" style="580" customWidth="1"/>
    <col min="15892" max="15901" width="10.5703125" style="580" customWidth="1"/>
    <col min="15902" max="15905" width="7.140625" style="580" customWidth="1"/>
    <col min="15906" max="16128" width="9.140625" style="580"/>
    <col min="16129" max="16129" width="2.7109375" style="580" customWidth="1"/>
    <col min="16130" max="16130" width="10.140625" style="580" customWidth="1"/>
    <col min="16131" max="16131" width="40.42578125" style="580" customWidth="1"/>
    <col min="16132" max="16132" width="18.7109375" style="580" customWidth="1"/>
    <col min="16133" max="16133" width="13" style="580" customWidth="1"/>
    <col min="16134" max="16147" width="11.85546875" style="580" customWidth="1"/>
    <col min="16148" max="16157" width="10.5703125" style="580" customWidth="1"/>
    <col min="16158" max="16161" width="7.140625" style="580" customWidth="1"/>
    <col min="16162" max="16384" width="9.140625" style="580"/>
  </cols>
  <sheetData>
    <row r="1" spans="1:29" ht="14.25" thickBot="1" x14ac:dyDescent="0.35">
      <c r="B1" s="581" t="s">
        <v>2</v>
      </c>
      <c r="C1" s="581"/>
      <c r="D1" s="581"/>
      <c r="E1" s="581"/>
      <c r="F1" s="582"/>
      <c r="G1" s="583"/>
      <c r="H1" s="581"/>
      <c r="I1" s="581"/>
      <c r="J1" s="581"/>
      <c r="K1" s="581"/>
      <c r="L1" s="581"/>
      <c r="M1" s="581"/>
      <c r="N1" s="581"/>
      <c r="O1" s="581"/>
      <c r="P1" s="581"/>
      <c r="Q1" s="581"/>
      <c r="R1" s="581"/>
    </row>
    <row r="2" spans="1:29" ht="14.25" x14ac:dyDescent="0.3">
      <c r="A2" s="584"/>
      <c r="B2" s="597" t="s">
        <v>25</v>
      </c>
      <c r="C2" s="598" t="str">
        <f>IF('0 Úvod'!$M$10="English",Slovnik!D393,Slovnik!C393)</f>
        <v>Osobní a rekreační plavba (CZK)</v>
      </c>
      <c r="D2" s="599"/>
      <c r="E2" s="2363">
        <f>'1 CIN'!G3</f>
        <v>2021</v>
      </c>
      <c r="F2" s="2361">
        <f t="shared" ref="F2:S2" si="0">E2+1</f>
        <v>2022</v>
      </c>
      <c r="G2" s="2361">
        <f t="shared" si="0"/>
        <v>2023</v>
      </c>
      <c r="H2" s="2361">
        <f t="shared" si="0"/>
        <v>2024</v>
      </c>
      <c r="I2" s="2361">
        <f t="shared" si="0"/>
        <v>2025</v>
      </c>
      <c r="J2" s="2361">
        <f t="shared" si="0"/>
        <v>2026</v>
      </c>
      <c r="K2" s="2361">
        <f t="shared" si="0"/>
        <v>2027</v>
      </c>
      <c r="L2" s="2361">
        <f t="shared" si="0"/>
        <v>2028</v>
      </c>
      <c r="M2" s="2361">
        <f t="shared" si="0"/>
        <v>2029</v>
      </c>
      <c r="N2" s="2361">
        <f t="shared" si="0"/>
        <v>2030</v>
      </c>
      <c r="O2" s="2361">
        <f t="shared" si="0"/>
        <v>2031</v>
      </c>
      <c r="P2" s="2361">
        <f t="shared" si="0"/>
        <v>2032</v>
      </c>
      <c r="Q2" s="2361">
        <f t="shared" si="0"/>
        <v>2033</v>
      </c>
      <c r="R2" s="2361">
        <f t="shared" si="0"/>
        <v>2034</v>
      </c>
      <c r="S2" s="2365">
        <f t="shared" si="0"/>
        <v>2035</v>
      </c>
      <c r="T2" s="669"/>
      <c r="U2" s="669"/>
      <c r="V2" s="669"/>
      <c r="W2" s="669"/>
      <c r="X2" s="669"/>
      <c r="Y2" s="669"/>
      <c r="Z2" s="669"/>
      <c r="AA2" s="669"/>
      <c r="AB2" s="669"/>
      <c r="AC2" s="669"/>
    </row>
    <row r="3" spans="1:29" ht="15" thickBot="1" x14ac:dyDescent="0.35">
      <c r="A3" s="585"/>
      <c r="B3" s="600" t="s">
        <v>23</v>
      </c>
      <c r="C3" s="601" t="str">
        <f>IF('0 Úvod'!$M$10="English",Slovnik!D394,Slovnik!C394)</f>
        <v>Scénář s projektem</v>
      </c>
      <c r="D3" s="602" t="str">
        <f>C10</f>
        <v>Celkem</v>
      </c>
      <c r="E3" s="2364"/>
      <c r="F3" s="2362"/>
      <c r="G3" s="2362"/>
      <c r="H3" s="2362"/>
      <c r="I3" s="2362"/>
      <c r="J3" s="2362"/>
      <c r="K3" s="2362"/>
      <c r="L3" s="2362"/>
      <c r="M3" s="2362"/>
      <c r="N3" s="2362"/>
      <c r="O3" s="2362"/>
      <c r="P3" s="2362"/>
      <c r="Q3" s="2362"/>
      <c r="R3" s="2362"/>
      <c r="S3" s="2366"/>
      <c r="T3" s="669"/>
      <c r="U3" s="669"/>
      <c r="V3" s="669"/>
      <c r="W3" s="669"/>
      <c r="X3" s="669"/>
      <c r="Y3" s="669"/>
      <c r="Z3" s="669"/>
      <c r="AA3" s="669"/>
      <c r="AB3" s="669"/>
      <c r="AC3" s="669"/>
    </row>
    <row r="4" spans="1:29" ht="14.25" x14ac:dyDescent="0.3">
      <c r="A4" s="585"/>
      <c r="B4" s="603"/>
      <c r="C4" s="604" t="str">
        <f>IF('0 Úvod'!$M$10="English",Slovnik!D395,Slovnik!C395)</f>
        <v>Celkové tržby</v>
      </c>
      <c r="D4" s="605">
        <f>SUM(E4:S4,E14:S14)</f>
        <v>0</v>
      </c>
      <c r="E4" s="2098"/>
      <c r="F4" s="2098"/>
      <c r="G4" s="2098"/>
      <c r="H4" s="2098"/>
      <c r="I4" s="2098"/>
      <c r="J4" s="2098"/>
      <c r="K4" s="2098"/>
      <c r="L4" s="2098"/>
      <c r="M4" s="2098"/>
      <c r="N4" s="2098"/>
      <c r="O4" s="2098"/>
      <c r="P4" s="2098"/>
      <c r="Q4" s="2098"/>
      <c r="R4" s="2098"/>
      <c r="S4" s="2098"/>
      <c r="T4" s="2025"/>
      <c r="V4" s="1711"/>
      <c r="W4" s="587"/>
      <c r="X4" s="587"/>
      <c r="Y4" s="587"/>
      <c r="Z4" s="587"/>
      <c r="AA4" s="587"/>
      <c r="AB4" s="587"/>
      <c r="AC4" s="587"/>
    </row>
    <row r="5" spans="1:29" ht="14.25" x14ac:dyDescent="0.3">
      <c r="A5" s="585"/>
      <c r="B5" s="606">
        <v>0.35499999999999998</v>
      </c>
      <c r="C5" s="607" t="str">
        <f>IF('0 Úvod'!$M$10="English",Slovnik!D396,Slovnik!C396)</f>
        <v>Přidaná hodnota segmentu trhu</v>
      </c>
      <c r="D5" s="608">
        <f t="shared" ref="D5:D10" si="1">SUM(E5:S5,E15:S15)</f>
        <v>0</v>
      </c>
      <c r="E5" s="2101">
        <f>E4*$B$5</f>
        <v>0</v>
      </c>
      <c r="F5" s="732">
        <f t="shared" ref="F5:S5" si="2">F4*$B$5</f>
        <v>0</v>
      </c>
      <c r="G5" s="732">
        <f t="shared" si="2"/>
        <v>0</v>
      </c>
      <c r="H5" s="732">
        <f t="shared" si="2"/>
        <v>0</v>
      </c>
      <c r="I5" s="732">
        <f t="shared" si="2"/>
        <v>0</v>
      </c>
      <c r="J5" s="732">
        <f t="shared" si="2"/>
        <v>0</v>
      </c>
      <c r="K5" s="732">
        <f t="shared" si="2"/>
        <v>0</v>
      </c>
      <c r="L5" s="732">
        <f t="shared" si="2"/>
        <v>0</v>
      </c>
      <c r="M5" s="732">
        <f t="shared" si="2"/>
        <v>0</v>
      </c>
      <c r="N5" s="732">
        <f t="shared" si="2"/>
        <v>0</v>
      </c>
      <c r="O5" s="732">
        <f t="shared" si="2"/>
        <v>0</v>
      </c>
      <c r="P5" s="732">
        <f t="shared" si="2"/>
        <v>0</v>
      </c>
      <c r="Q5" s="732">
        <f t="shared" si="2"/>
        <v>0</v>
      </c>
      <c r="R5" s="732">
        <f t="shared" si="2"/>
        <v>0</v>
      </c>
      <c r="S5" s="733">
        <f t="shared" si="2"/>
        <v>0</v>
      </c>
      <c r="T5" s="1981"/>
      <c r="U5" s="590"/>
      <c r="V5" s="590"/>
      <c r="W5" s="590"/>
      <c r="X5" s="590"/>
      <c r="Y5" s="590"/>
      <c r="Z5" s="590"/>
      <c r="AA5" s="590"/>
      <c r="AB5" s="590"/>
      <c r="AC5" s="590"/>
    </row>
    <row r="6" spans="1:29" ht="14.25" x14ac:dyDescent="0.3">
      <c r="A6" s="585"/>
      <c r="B6" s="606">
        <v>0.25090000000000001</v>
      </c>
      <c r="C6" s="607" t="str">
        <f>IF('0 Úvod'!$M$10="English",Slovnik!D397,Slovnik!C397)</f>
        <v>Efekt mezispotřeby</v>
      </c>
      <c r="D6" s="608">
        <f t="shared" si="1"/>
        <v>0</v>
      </c>
      <c r="E6" s="2102">
        <f>E4*$B$6</f>
        <v>0</v>
      </c>
      <c r="F6" s="2103">
        <f t="shared" ref="F6:S6" si="3">F4*$B$6</f>
        <v>0</v>
      </c>
      <c r="G6" s="2103">
        <f t="shared" si="3"/>
        <v>0</v>
      </c>
      <c r="H6" s="2103">
        <f t="shared" si="3"/>
        <v>0</v>
      </c>
      <c r="I6" s="2103">
        <f t="shared" si="3"/>
        <v>0</v>
      </c>
      <c r="J6" s="2103">
        <f t="shared" si="3"/>
        <v>0</v>
      </c>
      <c r="K6" s="2103">
        <f t="shared" si="3"/>
        <v>0</v>
      </c>
      <c r="L6" s="2103">
        <f t="shared" si="3"/>
        <v>0</v>
      </c>
      <c r="M6" s="2103">
        <f t="shared" si="3"/>
        <v>0</v>
      </c>
      <c r="N6" s="2103">
        <f t="shared" si="3"/>
        <v>0</v>
      </c>
      <c r="O6" s="2103">
        <f t="shared" si="3"/>
        <v>0</v>
      </c>
      <c r="P6" s="2103">
        <f t="shared" si="3"/>
        <v>0</v>
      </c>
      <c r="Q6" s="2103">
        <f t="shared" si="3"/>
        <v>0</v>
      </c>
      <c r="R6" s="2103">
        <f t="shared" si="3"/>
        <v>0</v>
      </c>
      <c r="S6" s="2104">
        <f t="shared" si="3"/>
        <v>0</v>
      </c>
      <c r="T6" s="1981"/>
      <c r="U6" s="590"/>
      <c r="V6" s="590"/>
      <c r="W6" s="590"/>
      <c r="X6" s="590"/>
      <c r="Y6" s="590"/>
      <c r="Z6" s="590"/>
      <c r="AA6" s="590"/>
      <c r="AB6" s="590"/>
      <c r="AC6" s="590"/>
    </row>
    <row r="7" spans="1:29" ht="14.25" x14ac:dyDescent="0.3">
      <c r="A7" s="585"/>
      <c r="B7" s="609">
        <v>0.35499999999999998</v>
      </c>
      <c r="C7" s="610" t="str">
        <f>IF('0 Úvod'!$M$10="English",Slovnik!D398,Slovnik!C398)</f>
        <v>Tržby z výroby a prodeje plavidel z tuzemska</v>
      </c>
      <c r="D7" s="611">
        <f t="shared" si="1"/>
        <v>0</v>
      </c>
      <c r="E7" s="734"/>
      <c r="F7" s="734"/>
      <c r="G7" s="734"/>
      <c r="H7" s="734"/>
      <c r="I7" s="734"/>
      <c r="J7" s="734"/>
      <c r="K7" s="734"/>
      <c r="L7" s="734"/>
      <c r="M7" s="734"/>
      <c r="N7" s="734"/>
      <c r="O7" s="734"/>
      <c r="P7" s="734"/>
      <c r="Q7" s="734"/>
      <c r="R7" s="734"/>
      <c r="S7" s="734"/>
      <c r="T7" s="2025"/>
      <c r="U7" s="587"/>
      <c r="V7" s="587"/>
      <c r="W7" s="587"/>
      <c r="X7" s="587"/>
      <c r="Y7" s="587"/>
      <c r="Z7" s="587"/>
      <c r="AA7" s="587"/>
      <c r="AB7" s="587"/>
      <c r="AC7" s="587"/>
    </row>
    <row r="8" spans="1:29" ht="14.25" x14ac:dyDescent="0.3">
      <c r="A8" s="585"/>
      <c r="B8" s="606">
        <v>0.1</v>
      </c>
      <c r="C8" s="607" t="str">
        <f>IF('0 Úvod'!$M$10="English",Slovnik!D399,Slovnik!C399)</f>
        <v>Tržby z výroby a prodeje plavidel ze zahraničí</v>
      </c>
      <c r="D8" s="608">
        <f t="shared" si="1"/>
        <v>0</v>
      </c>
      <c r="E8" s="734"/>
      <c r="F8" s="734"/>
      <c r="G8" s="734"/>
      <c r="H8" s="734"/>
      <c r="I8" s="734"/>
      <c r="J8" s="734"/>
      <c r="K8" s="734"/>
      <c r="L8" s="734"/>
      <c r="M8" s="734"/>
      <c r="N8" s="734"/>
      <c r="O8" s="734"/>
      <c r="P8" s="734"/>
      <c r="Q8" s="734"/>
      <c r="R8" s="734"/>
      <c r="S8" s="734"/>
      <c r="T8" s="2025"/>
      <c r="U8" s="587"/>
      <c r="V8" s="587"/>
      <c r="W8" s="587"/>
      <c r="X8" s="587"/>
      <c r="Y8" s="587"/>
      <c r="Z8" s="587"/>
      <c r="AA8" s="587"/>
      <c r="AB8" s="587"/>
      <c r="AC8" s="587"/>
    </row>
    <row r="9" spans="1:29" ht="14.25" x14ac:dyDescent="0.3">
      <c r="A9" s="585"/>
      <c r="B9" s="612"/>
      <c r="C9" s="613" t="str">
        <f>IF('0 Úvod'!$M$10="English",Slovnik!D400,Slovnik!C400)</f>
        <v>Přidaná hodnota výroby plavidel</v>
      </c>
      <c r="D9" s="614">
        <f t="shared" si="1"/>
        <v>0</v>
      </c>
      <c r="E9" s="735">
        <f t="shared" ref="E9:S9" si="4">E7*$B$7+E8*$B$8</f>
        <v>0</v>
      </c>
      <c r="F9" s="735">
        <f t="shared" si="4"/>
        <v>0</v>
      </c>
      <c r="G9" s="735">
        <f t="shared" si="4"/>
        <v>0</v>
      </c>
      <c r="H9" s="735">
        <f t="shared" si="4"/>
        <v>0</v>
      </c>
      <c r="I9" s="735">
        <f t="shared" si="4"/>
        <v>0</v>
      </c>
      <c r="J9" s="735">
        <f t="shared" si="4"/>
        <v>0</v>
      </c>
      <c r="K9" s="735">
        <f t="shared" si="4"/>
        <v>0</v>
      </c>
      <c r="L9" s="735">
        <f t="shared" si="4"/>
        <v>0</v>
      </c>
      <c r="M9" s="735">
        <f t="shared" si="4"/>
        <v>0</v>
      </c>
      <c r="N9" s="735">
        <f t="shared" si="4"/>
        <v>0</v>
      </c>
      <c r="O9" s="735">
        <f t="shared" si="4"/>
        <v>0</v>
      </c>
      <c r="P9" s="735">
        <f t="shared" si="4"/>
        <v>0</v>
      </c>
      <c r="Q9" s="735">
        <f t="shared" si="4"/>
        <v>0</v>
      </c>
      <c r="R9" s="735">
        <f t="shared" si="4"/>
        <v>0</v>
      </c>
      <c r="S9" s="736">
        <f t="shared" si="4"/>
        <v>0</v>
      </c>
      <c r="T9" s="587"/>
      <c r="U9" s="587"/>
      <c r="V9" s="587"/>
      <c r="W9" s="587"/>
      <c r="X9" s="587"/>
      <c r="Y9" s="587"/>
      <c r="Z9" s="587"/>
      <c r="AA9" s="587"/>
      <c r="AB9" s="587"/>
      <c r="AC9" s="587"/>
    </row>
    <row r="10" spans="1:29" ht="15" thickBot="1" x14ac:dyDescent="0.35">
      <c r="A10" s="585"/>
      <c r="B10" s="615"/>
      <c r="C10" s="616" t="str">
        <f>IF('0 Úvod'!$M$10="English",Slovnik!D401,Slovnik!C401)</f>
        <v>Celkem</v>
      </c>
      <c r="D10" s="617">
        <f t="shared" si="1"/>
        <v>0</v>
      </c>
      <c r="E10" s="737">
        <f>E5+E6+E9</f>
        <v>0</v>
      </c>
      <c r="F10" s="737">
        <f t="shared" ref="F10:S10" si="5">F5+F6+F9</f>
        <v>0</v>
      </c>
      <c r="G10" s="737">
        <f t="shared" si="5"/>
        <v>0</v>
      </c>
      <c r="H10" s="737">
        <f t="shared" si="5"/>
        <v>0</v>
      </c>
      <c r="I10" s="737">
        <f t="shared" si="5"/>
        <v>0</v>
      </c>
      <c r="J10" s="737">
        <f t="shared" si="5"/>
        <v>0</v>
      </c>
      <c r="K10" s="737">
        <f t="shared" si="5"/>
        <v>0</v>
      </c>
      <c r="L10" s="737">
        <f t="shared" si="5"/>
        <v>0</v>
      </c>
      <c r="M10" s="737">
        <f t="shared" si="5"/>
        <v>0</v>
      </c>
      <c r="N10" s="737">
        <f t="shared" si="5"/>
        <v>0</v>
      </c>
      <c r="O10" s="737">
        <f t="shared" si="5"/>
        <v>0</v>
      </c>
      <c r="P10" s="737">
        <f t="shared" si="5"/>
        <v>0</v>
      </c>
      <c r="Q10" s="737">
        <f t="shared" si="5"/>
        <v>0</v>
      </c>
      <c r="R10" s="737">
        <f t="shared" si="5"/>
        <v>0</v>
      </c>
      <c r="S10" s="738">
        <f t="shared" si="5"/>
        <v>0</v>
      </c>
      <c r="T10" s="679"/>
      <c r="U10" s="679"/>
      <c r="V10" s="679"/>
      <c r="W10" s="679"/>
      <c r="X10" s="679"/>
      <c r="Y10" s="679"/>
      <c r="Z10" s="679"/>
      <c r="AA10" s="679"/>
      <c r="AB10" s="679"/>
      <c r="AC10" s="679"/>
    </row>
    <row r="11" spans="1:29" ht="14.25" thickBot="1" x14ac:dyDescent="0.35">
      <c r="A11" s="585"/>
      <c r="B11" s="589"/>
      <c r="C11" s="585"/>
      <c r="D11" s="586"/>
      <c r="E11" s="586"/>
      <c r="F11" s="586"/>
      <c r="G11" s="586"/>
      <c r="H11" s="586"/>
      <c r="I11" s="586"/>
      <c r="J11" s="586"/>
      <c r="K11" s="586"/>
      <c r="L11" s="586"/>
      <c r="M11" s="586"/>
      <c r="N11" s="586"/>
      <c r="O11" s="586"/>
      <c r="P11" s="586"/>
      <c r="Q11" s="586"/>
      <c r="R11" s="586"/>
      <c r="S11" s="586"/>
      <c r="T11" s="590"/>
      <c r="U11" s="664"/>
      <c r="V11" s="664"/>
      <c r="W11" s="664"/>
      <c r="X11" s="590"/>
      <c r="Y11" s="590"/>
      <c r="Z11" s="590"/>
      <c r="AA11" s="590"/>
      <c r="AB11" s="590"/>
      <c r="AC11" s="590"/>
    </row>
    <row r="12" spans="1:29" ht="14.25" x14ac:dyDescent="0.3">
      <c r="A12" s="584"/>
      <c r="B12" s="597" t="str">
        <f>B2</f>
        <v>7.1.</v>
      </c>
      <c r="C12" s="598" t="str">
        <f>C2</f>
        <v>Osobní a rekreační plavba (CZK)</v>
      </c>
      <c r="D12" s="618"/>
      <c r="E12" s="2361">
        <f>S2+1</f>
        <v>2036</v>
      </c>
      <c r="F12" s="2361">
        <f t="shared" ref="F12:S12" si="6">E12+1</f>
        <v>2037</v>
      </c>
      <c r="G12" s="2361">
        <f t="shared" si="6"/>
        <v>2038</v>
      </c>
      <c r="H12" s="2361">
        <f t="shared" si="6"/>
        <v>2039</v>
      </c>
      <c r="I12" s="2361">
        <f t="shared" si="6"/>
        <v>2040</v>
      </c>
      <c r="J12" s="2361">
        <f t="shared" si="6"/>
        <v>2041</v>
      </c>
      <c r="K12" s="2361">
        <f t="shared" si="6"/>
        <v>2042</v>
      </c>
      <c r="L12" s="2361">
        <f t="shared" si="6"/>
        <v>2043</v>
      </c>
      <c r="M12" s="2361">
        <f t="shared" si="6"/>
        <v>2044</v>
      </c>
      <c r="N12" s="2361">
        <f t="shared" si="6"/>
        <v>2045</v>
      </c>
      <c r="O12" s="2361">
        <f t="shared" si="6"/>
        <v>2046</v>
      </c>
      <c r="P12" s="2361">
        <f t="shared" si="6"/>
        <v>2047</v>
      </c>
      <c r="Q12" s="2361">
        <f t="shared" si="6"/>
        <v>2048</v>
      </c>
      <c r="R12" s="2361">
        <f t="shared" si="6"/>
        <v>2049</v>
      </c>
      <c r="S12" s="2365">
        <f t="shared" si="6"/>
        <v>2050</v>
      </c>
      <c r="T12" s="669"/>
      <c r="U12" s="2109"/>
      <c r="V12" s="2109"/>
      <c r="W12" s="2109"/>
      <c r="X12" s="669"/>
      <c r="Y12" s="669"/>
      <c r="Z12" s="669"/>
      <c r="AA12" s="669"/>
      <c r="AB12" s="669"/>
      <c r="AC12" s="669"/>
    </row>
    <row r="13" spans="1:29" ht="15" thickBot="1" x14ac:dyDescent="0.35">
      <c r="A13" s="585"/>
      <c r="B13" s="600" t="s">
        <v>24</v>
      </c>
      <c r="C13" s="601" t="str">
        <f>C3</f>
        <v>Scénář s projektem</v>
      </c>
      <c r="D13" s="619"/>
      <c r="E13" s="2362"/>
      <c r="F13" s="2362"/>
      <c r="G13" s="2362"/>
      <c r="H13" s="2362"/>
      <c r="I13" s="2362"/>
      <c r="J13" s="2362"/>
      <c r="K13" s="2362"/>
      <c r="L13" s="2362"/>
      <c r="M13" s="2362"/>
      <c r="N13" s="2362"/>
      <c r="O13" s="2362"/>
      <c r="P13" s="2362"/>
      <c r="Q13" s="2362"/>
      <c r="R13" s="2362"/>
      <c r="S13" s="2366"/>
      <c r="T13" s="669"/>
      <c r="U13" s="2109"/>
      <c r="V13" s="2109"/>
      <c r="W13" s="2109"/>
      <c r="X13" s="669"/>
      <c r="Y13" s="669"/>
      <c r="Z13" s="669"/>
      <c r="AA13" s="669"/>
      <c r="AB13" s="669"/>
      <c r="AC13" s="669"/>
    </row>
    <row r="14" spans="1:29" ht="14.25" x14ac:dyDescent="0.3">
      <c r="A14" s="585"/>
      <c r="B14" s="603"/>
      <c r="C14" s="607" t="str">
        <f>C4</f>
        <v>Celkové tržby</v>
      </c>
      <c r="D14" s="620"/>
      <c r="E14" s="2099"/>
      <c r="F14" s="2099"/>
      <c r="G14" s="2099"/>
      <c r="H14" s="2099"/>
      <c r="I14" s="2099"/>
      <c r="J14" s="2099"/>
      <c r="K14" s="2099"/>
      <c r="L14" s="2099"/>
      <c r="M14" s="2099"/>
      <c r="N14" s="2099"/>
      <c r="O14" s="2099"/>
      <c r="P14" s="2099"/>
      <c r="Q14" s="2099"/>
      <c r="R14" s="2099"/>
      <c r="S14" s="2099"/>
      <c r="T14" s="1981"/>
      <c r="U14" s="664"/>
      <c r="V14" s="664"/>
      <c r="W14" s="664"/>
      <c r="X14" s="590"/>
      <c r="Y14" s="590"/>
      <c r="Z14" s="590"/>
      <c r="AA14" s="590"/>
      <c r="AB14" s="590"/>
      <c r="AC14" s="590"/>
    </row>
    <row r="15" spans="1:29" ht="14.25" x14ac:dyDescent="0.3">
      <c r="A15" s="585"/>
      <c r="B15" s="621"/>
      <c r="C15" s="607" t="str">
        <f t="shared" ref="C15:C20" si="7">C5</f>
        <v>Přidaná hodnota segmentu trhu</v>
      </c>
      <c r="D15" s="622"/>
      <c r="E15" s="2101">
        <f>E14*$B$5</f>
        <v>0</v>
      </c>
      <c r="F15" s="732">
        <f t="shared" ref="F15:S15" si="8">F14*$B$5</f>
        <v>0</v>
      </c>
      <c r="G15" s="732">
        <f t="shared" si="8"/>
        <v>0</v>
      </c>
      <c r="H15" s="732">
        <f t="shared" si="8"/>
        <v>0</v>
      </c>
      <c r="I15" s="732">
        <f t="shared" si="8"/>
        <v>0</v>
      </c>
      <c r="J15" s="732">
        <f t="shared" si="8"/>
        <v>0</v>
      </c>
      <c r="K15" s="732">
        <f t="shared" si="8"/>
        <v>0</v>
      </c>
      <c r="L15" s="732">
        <f t="shared" si="8"/>
        <v>0</v>
      </c>
      <c r="M15" s="732">
        <f t="shared" si="8"/>
        <v>0</v>
      </c>
      <c r="N15" s="732">
        <f t="shared" si="8"/>
        <v>0</v>
      </c>
      <c r="O15" s="732">
        <f t="shared" si="8"/>
        <v>0</v>
      </c>
      <c r="P15" s="732">
        <f t="shared" si="8"/>
        <v>0</v>
      </c>
      <c r="Q15" s="732">
        <f t="shared" si="8"/>
        <v>0</v>
      </c>
      <c r="R15" s="732">
        <f t="shared" si="8"/>
        <v>0</v>
      </c>
      <c r="S15" s="733">
        <f t="shared" si="8"/>
        <v>0</v>
      </c>
      <c r="T15" s="1981"/>
      <c r="U15" s="665"/>
      <c r="V15" s="664"/>
      <c r="W15" s="664"/>
      <c r="X15" s="590"/>
      <c r="Y15" s="590"/>
      <c r="Z15" s="590"/>
      <c r="AA15" s="590"/>
      <c r="AB15" s="590"/>
      <c r="AC15" s="590"/>
    </row>
    <row r="16" spans="1:29" ht="14.25" x14ac:dyDescent="0.3">
      <c r="A16" s="585"/>
      <c r="B16" s="623"/>
      <c r="C16" s="613" t="str">
        <f t="shared" si="7"/>
        <v>Efekt mezispotřeby</v>
      </c>
      <c r="D16" s="2100"/>
      <c r="E16" s="2102">
        <f>E14*$B$6</f>
        <v>0</v>
      </c>
      <c r="F16" s="2105">
        <f t="shared" ref="F16:S16" si="9">F14*$B$6</f>
        <v>0</v>
      </c>
      <c r="G16" s="2105">
        <f t="shared" si="9"/>
        <v>0</v>
      </c>
      <c r="H16" s="2105">
        <f t="shared" si="9"/>
        <v>0</v>
      </c>
      <c r="I16" s="2105">
        <f t="shared" si="9"/>
        <v>0</v>
      </c>
      <c r="J16" s="2105">
        <f t="shared" si="9"/>
        <v>0</v>
      </c>
      <c r="K16" s="2105">
        <f t="shared" si="9"/>
        <v>0</v>
      </c>
      <c r="L16" s="2105">
        <f t="shared" si="9"/>
        <v>0</v>
      </c>
      <c r="M16" s="2105">
        <f t="shared" si="9"/>
        <v>0</v>
      </c>
      <c r="N16" s="2105">
        <f t="shared" si="9"/>
        <v>0</v>
      </c>
      <c r="O16" s="2105">
        <f t="shared" si="9"/>
        <v>0</v>
      </c>
      <c r="P16" s="2105">
        <f t="shared" si="9"/>
        <v>0</v>
      </c>
      <c r="Q16" s="2105">
        <f t="shared" si="9"/>
        <v>0</v>
      </c>
      <c r="R16" s="2105">
        <f t="shared" si="9"/>
        <v>0</v>
      </c>
      <c r="S16" s="2106">
        <f t="shared" si="9"/>
        <v>0</v>
      </c>
      <c r="T16" s="2025"/>
      <c r="U16" s="665"/>
      <c r="V16" s="665"/>
      <c r="W16" s="665"/>
      <c r="X16" s="587"/>
      <c r="Y16" s="587"/>
      <c r="Z16" s="587"/>
      <c r="AA16" s="587"/>
      <c r="AB16" s="587"/>
      <c r="AC16" s="590"/>
    </row>
    <row r="17" spans="1:29" ht="14.25" x14ac:dyDescent="0.3">
      <c r="A17" s="585"/>
      <c r="B17" s="624"/>
      <c r="C17" s="607" t="str">
        <f t="shared" si="7"/>
        <v>Tržby z výroby a prodeje plavidel z tuzemska</v>
      </c>
      <c r="D17" s="625"/>
      <c r="E17" s="739"/>
      <c r="F17" s="739"/>
      <c r="G17" s="739"/>
      <c r="H17" s="739"/>
      <c r="I17" s="739"/>
      <c r="J17" s="739"/>
      <c r="K17" s="739"/>
      <c r="L17" s="739"/>
      <c r="M17" s="739"/>
      <c r="N17" s="739"/>
      <c r="O17" s="739"/>
      <c r="P17" s="739"/>
      <c r="Q17" s="739"/>
      <c r="R17" s="739"/>
      <c r="S17" s="739"/>
      <c r="T17" s="1981"/>
      <c r="U17" s="664"/>
      <c r="V17" s="664"/>
      <c r="W17" s="664"/>
      <c r="X17" s="590"/>
      <c r="Y17" s="590"/>
      <c r="Z17" s="590"/>
      <c r="AA17" s="590"/>
      <c r="AB17" s="590"/>
      <c r="AC17" s="590"/>
    </row>
    <row r="18" spans="1:29" ht="14.25" x14ac:dyDescent="0.3">
      <c r="A18" s="585"/>
      <c r="B18" s="624"/>
      <c r="C18" s="607" t="str">
        <f t="shared" si="7"/>
        <v>Tržby z výroby a prodeje plavidel ze zahraničí</v>
      </c>
      <c r="D18" s="625"/>
      <c r="E18" s="739"/>
      <c r="F18" s="739"/>
      <c r="G18" s="739"/>
      <c r="H18" s="739"/>
      <c r="I18" s="739"/>
      <c r="J18" s="739"/>
      <c r="K18" s="739"/>
      <c r="L18" s="739"/>
      <c r="M18" s="739"/>
      <c r="N18" s="739"/>
      <c r="O18" s="739"/>
      <c r="P18" s="739"/>
      <c r="Q18" s="739"/>
      <c r="R18" s="739"/>
      <c r="S18" s="739"/>
      <c r="T18" s="1981"/>
      <c r="U18" s="664"/>
      <c r="V18" s="664"/>
      <c r="W18" s="664"/>
      <c r="X18" s="590"/>
      <c r="Y18" s="590"/>
      <c r="Z18" s="590"/>
      <c r="AA18" s="590"/>
      <c r="AB18" s="590"/>
      <c r="AC18" s="590"/>
    </row>
    <row r="19" spans="1:29" ht="14.25" x14ac:dyDescent="0.3">
      <c r="A19" s="585"/>
      <c r="B19" s="626"/>
      <c r="C19" s="607" t="str">
        <f t="shared" si="7"/>
        <v>Přidaná hodnota výroby plavidel</v>
      </c>
      <c r="D19" s="625"/>
      <c r="E19" s="731">
        <f t="shared" ref="E19:S19" si="10">E17*$B$7+E18*$B$8</f>
        <v>0</v>
      </c>
      <c r="F19" s="731">
        <f t="shared" si="10"/>
        <v>0</v>
      </c>
      <c r="G19" s="731">
        <f t="shared" si="10"/>
        <v>0</v>
      </c>
      <c r="H19" s="731">
        <f t="shared" si="10"/>
        <v>0</v>
      </c>
      <c r="I19" s="731">
        <f t="shared" si="10"/>
        <v>0</v>
      </c>
      <c r="J19" s="731">
        <f t="shared" si="10"/>
        <v>0</v>
      </c>
      <c r="K19" s="731">
        <f t="shared" si="10"/>
        <v>0</v>
      </c>
      <c r="L19" s="731">
        <f t="shared" si="10"/>
        <v>0</v>
      </c>
      <c r="M19" s="731">
        <f t="shared" si="10"/>
        <v>0</v>
      </c>
      <c r="N19" s="731">
        <f t="shared" si="10"/>
        <v>0</v>
      </c>
      <c r="O19" s="731">
        <f t="shared" si="10"/>
        <v>0</v>
      </c>
      <c r="P19" s="731">
        <f t="shared" si="10"/>
        <v>0</v>
      </c>
      <c r="Q19" s="731">
        <f t="shared" si="10"/>
        <v>0</v>
      </c>
      <c r="R19" s="731">
        <f t="shared" si="10"/>
        <v>0</v>
      </c>
      <c r="S19" s="740">
        <f t="shared" si="10"/>
        <v>0</v>
      </c>
      <c r="T19" s="587"/>
      <c r="U19" s="665"/>
      <c r="V19" s="665"/>
      <c r="W19" s="665"/>
      <c r="X19" s="587"/>
      <c r="Y19" s="587"/>
      <c r="Z19" s="587"/>
      <c r="AA19" s="587"/>
      <c r="AB19" s="587"/>
      <c r="AC19" s="587"/>
    </row>
    <row r="20" spans="1:29" ht="15" thickBot="1" x14ac:dyDescent="0.35">
      <c r="A20" s="591"/>
      <c r="B20" s="627"/>
      <c r="C20" s="628" t="str">
        <f t="shared" si="7"/>
        <v>Celkem</v>
      </c>
      <c r="D20" s="629"/>
      <c r="E20" s="741">
        <f>E15+E16+E19</f>
        <v>0</v>
      </c>
      <c r="F20" s="741">
        <f t="shared" ref="F20:S20" si="11">F15+F16+F19</f>
        <v>0</v>
      </c>
      <c r="G20" s="741">
        <f t="shared" si="11"/>
        <v>0</v>
      </c>
      <c r="H20" s="741">
        <f t="shared" si="11"/>
        <v>0</v>
      </c>
      <c r="I20" s="741">
        <f t="shared" si="11"/>
        <v>0</v>
      </c>
      <c r="J20" s="741">
        <f t="shared" si="11"/>
        <v>0</v>
      </c>
      <c r="K20" s="741">
        <f t="shared" si="11"/>
        <v>0</v>
      </c>
      <c r="L20" s="741">
        <f t="shared" si="11"/>
        <v>0</v>
      </c>
      <c r="M20" s="741">
        <f t="shared" si="11"/>
        <v>0</v>
      </c>
      <c r="N20" s="741">
        <f t="shared" si="11"/>
        <v>0</v>
      </c>
      <c r="O20" s="741">
        <f t="shared" si="11"/>
        <v>0</v>
      </c>
      <c r="P20" s="741">
        <f t="shared" si="11"/>
        <v>0</v>
      </c>
      <c r="Q20" s="741">
        <f t="shared" si="11"/>
        <v>0</v>
      </c>
      <c r="R20" s="741">
        <f t="shared" si="11"/>
        <v>0</v>
      </c>
      <c r="S20" s="742">
        <f t="shared" si="11"/>
        <v>0</v>
      </c>
      <c r="T20" s="679"/>
      <c r="U20" s="1712"/>
      <c r="V20" s="1712"/>
      <c r="W20" s="1712"/>
      <c r="X20" s="679"/>
      <c r="Y20" s="679"/>
      <c r="Z20" s="679"/>
      <c r="AA20" s="679"/>
      <c r="AB20" s="679"/>
      <c r="AC20" s="679"/>
    </row>
    <row r="21" spans="1:29" x14ac:dyDescent="0.3">
      <c r="A21" s="591"/>
      <c r="B21" s="592"/>
      <c r="C21" s="591"/>
      <c r="D21" s="586"/>
      <c r="E21" s="588"/>
      <c r="F21" s="588"/>
      <c r="G21" s="588"/>
      <c r="H21" s="588"/>
      <c r="I21" s="588"/>
      <c r="J21" s="588"/>
      <c r="K21" s="588"/>
      <c r="L21" s="588"/>
      <c r="M21" s="588"/>
      <c r="N21" s="588"/>
      <c r="O21" s="588"/>
      <c r="P21" s="588"/>
      <c r="Q21" s="588"/>
      <c r="R21" s="588"/>
      <c r="S21" s="588"/>
      <c r="T21" s="679"/>
      <c r="U21" s="679"/>
      <c r="V21" s="679"/>
      <c r="W21" s="679"/>
      <c r="X21" s="679"/>
      <c r="Y21" s="679"/>
      <c r="Z21" s="679"/>
      <c r="AA21" s="679"/>
      <c r="AB21" s="679"/>
      <c r="AC21" s="679"/>
    </row>
    <row r="22" spans="1:29" ht="14.25" thickBot="1" x14ac:dyDescent="0.35">
      <c r="A22" s="584"/>
      <c r="B22" s="584"/>
      <c r="C22" s="584"/>
      <c r="D22" s="584"/>
      <c r="E22" s="584"/>
      <c r="F22" s="584"/>
      <c r="G22" s="584"/>
      <c r="H22" s="584"/>
      <c r="I22" s="584"/>
      <c r="J22" s="584"/>
      <c r="K22" s="584"/>
      <c r="L22" s="584"/>
      <c r="M22" s="584"/>
      <c r="N22" s="584"/>
      <c r="O22" s="584"/>
      <c r="P22" s="584"/>
      <c r="Q22" s="584"/>
      <c r="R22" s="584"/>
      <c r="S22" s="584"/>
      <c r="T22" s="666"/>
      <c r="U22" s="666"/>
      <c r="V22" s="666"/>
      <c r="W22" s="666"/>
      <c r="X22" s="666"/>
      <c r="Y22" s="666"/>
      <c r="Z22" s="666"/>
      <c r="AA22" s="666"/>
      <c r="AB22" s="666"/>
      <c r="AC22" s="666"/>
    </row>
    <row r="23" spans="1:29" ht="14.25" x14ac:dyDescent="0.3">
      <c r="A23" s="584"/>
      <c r="B23" s="630" t="s">
        <v>113</v>
      </c>
      <c r="C23" s="631" t="str">
        <f>C12</f>
        <v>Osobní a rekreační plavba (CZK)</v>
      </c>
      <c r="D23" s="632"/>
      <c r="E23" s="2373">
        <f>E2</f>
        <v>2021</v>
      </c>
      <c r="F23" s="2373">
        <f t="shared" ref="F23:S23" si="12">E23+1</f>
        <v>2022</v>
      </c>
      <c r="G23" s="2373">
        <f t="shared" si="12"/>
        <v>2023</v>
      </c>
      <c r="H23" s="2373">
        <f t="shared" si="12"/>
        <v>2024</v>
      </c>
      <c r="I23" s="2373">
        <f t="shared" si="12"/>
        <v>2025</v>
      </c>
      <c r="J23" s="2373">
        <f t="shared" si="12"/>
        <v>2026</v>
      </c>
      <c r="K23" s="2373">
        <f t="shared" si="12"/>
        <v>2027</v>
      </c>
      <c r="L23" s="2373">
        <f t="shared" si="12"/>
        <v>2028</v>
      </c>
      <c r="M23" s="2373">
        <f t="shared" si="12"/>
        <v>2029</v>
      </c>
      <c r="N23" s="2373">
        <f t="shared" si="12"/>
        <v>2030</v>
      </c>
      <c r="O23" s="2373">
        <f t="shared" si="12"/>
        <v>2031</v>
      </c>
      <c r="P23" s="2373">
        <f t="shared" si="12"/>
        <v>2032</v>
      </c>
      <c r="Q23" s="2373">
        <f t="shared" si="12"/>
        <v>2033</v>
      </c>
      <c r="R23" s="2373">
        <f t="shared" si="12"/>
        <v>2034</v>
      </c>
      <c r="S23" s="2367">
        <f t="shared" si="12"/>
        <v>2035</v>
      </c>
      <c r="T23" s="669"/>
      <c r="U23" s="669"/>
      <c r="V23" s="669"/>
      <c r="W23" s="669"/>
      <c r="X23" s="669"/>
      <c r="Y23" s="669"/>
      <c r="Z23" s="669"/>
      <c r="AA23" s="669"/>
      <c r="AB23" s="669"/>
      <c r="AC23" s="669"/>
    </row>
    <row r="24" spans="1:29" ht="15" thickBot="1" x14ac:dyDescent="0.35">
      <c r="A24" s="585"/>
      <c r="B24" s="633" t="s">
        <v>23</v>
      </c>
      <c r="C24" s="634" t="str">
        <f>IF('0 Úvod'!$M$10="English",Slovnik!$D$402,Slovnik!$C$402)</f>
        <v>Scénář bez projektu</v>
      </c>
      <c r="D24" s="635" t="str">
        <f>D3</f>
        <v>Celkem</v>
      </c>
      <c r="E24" s="2374"/>
      <c r="F24" s="2374"/>
      <c r="G24" s="2374"/>
      <c r="H24" s="2374"/>
      <c r="I24" s="2374"/>
      <c r="J24" s="2374"/>
      <c r="K24" s="2374"/>
      <c r="L24" s="2374"/>
      <c r="M24" s="2374"/>
      <c r="N24" s="2374"/>
      <c r="O24" s="2374"/>
      <c r="P24" s="2374"/>
      <c r="Q24" s="2374"/>
      <c r="R24" s="2374"/>
      <c r="S24" s="2368"/>
      <c r="T24" s="669"/>
      <c r="U24" s="669"/>
      <c r="V24" s="669"/>
      <c r="W24" s="669"/>
      <c r="X24" s="669"/>
      <c r="Y24" s="669"/>
      <c r="Z24" s="669"/>
      <c r="AA24" s="669"/>
      <c r="AB24" s="669"/>
      <c r="AC24" s="669"/>
    </row>
    <row r="25" spans="1:29" ht="14.25" x14ac:dyDescent="0.3">
      <c r="A25" s="585"/>
      <c r="B25" s="621"/>
      <c r="C25" s="607" t="str">
        <f>C14</f>
        <v>Celkové tržby</v>
      </c>
      <c r="D25" s="608">
        <f>SUM(E25:S25,E35:S35)</f>
        <v>0</v>
      </c>
      <c r="E25" s="2098"/>
      <c r="F25" s="2098"/>
      <c r="G25" s="2098"/>
      <c r="H25" s="2098"/>
      <c r="I25" s="2098"/>
      <c r="J25" s="2098"/>
      <c r="K25" s="2098"/>
      <c r="L25" s="2098"/>
      <c r="M25" s="2098"/>
      <c r="N25" s="2098"/>
      <c r="O25" s="2098"/>
      <c r="P25" s="2098"/>
      <c r="Q25" s="2098"/>
      <c r="R25" s="2098"/>
      <c r="S25" s="2098"/>
      <c r="T25" s="2025"/>
      <c r="U25" s="587"/>
      <c r="V25" s="587"/>
      <c r="W25" s="587"/>
      <c r="X25" s="587"/>
      <c r="Y25" s="587"/>
      <c r="Z25" s="587"/>
      <c r="AA25" s="587"/>
      <c r="AB25" s="587"/>
      <c r="AC25" s="587"/>
    </row>
    <row r="26" spans="1:29" ht="14.25" x14ac:dyDescent="0.3">
      <c r="A26" s="585"/>
      <c r="B26" s="606">
        <v>0.35499999999999998</v>
      </c>
      <c r="C26" s="607" t="str">
        <f t="shared" ref="C26:C31" si="13">C15</f>
        <v>Přidaná hodnota segmentu trhu</v>
      </c>
      <c r="D26" s="608">
        <f t="shared" ref="D26:D31" si="14">SUM(E26:S26,E36:S36)</f>
        <v>0</v>
      </c>
      <c r="E26" s="2101">
        <f>E25*$B$26</f>
        <v>0</v>
      </c>
      <c r="F26" s="732">
        <f t="shared" ref="F26:S26" si="15">F25*$B$26</f>
        <v>0</v>
      </c>
      <c r="G26" s="732">
        <f t="shared" si="15"/>
        <v>0</v>
      </c>
      <c r="H26" s="732">
        <f t="shared" si="15"/>
        <v>0</v>
      </c>
      <c r="I26" s="732">
        <f t="shared" si="15"/>
        <v>0</v>
      </c>
      <c r="J26" s="732">
        <f t="shared" si="15"/>
        <v>0</v>
      </c>
      <c r="K26" s="732">
        <f t="shared" si="15"/>
        <v>0</v>
      </c>
      <c r="L26" s="732">
        <f t="shared" si="15"/>
        <v>0</v>
      </c>
      <c r="M26" s="732">
        <f t="shared" si="15"/>
        <v>0</v>
      </c>
      <c r="N26" s="732">
        <f t="shared" si="15"/>
        <v>0</v>
      </c>
      <c r="O26" s="732">
        <f t="shared" si="15"/>
        <v>0</v>
      </c>
      <c r="P26" s="732">
        <f t="shared" si="15"/>
        <v>0</v>
      </c>
      <c r="Q26" s="732">
        <f t="shared" si="15"/>
        <v>0</v>
      </c>
      <c r="R26" s="732">
        <f t="shared" si="15"/>
        <v>0</v>
      </c>
      <c r="S26" s="733">
        <f t="shared" si="15"/>
        <v>0</v>
      </c>
      <c r="T26" s="1981"/>
      <c r="U26" s="590"/>
      <c r="V26" s="590"/>
      <c r="W26" s="590"/>
      <c r="X26" s="590"/>
      <c r="Y26" s="590"/>
      <c r="Z26" s="590"/>
      <c r="AA26" s="590"/>
      <c r="AB26" s="590"/>
      <c r="AC26" s="590"/>
    </row>
    <row r="27" spans="1:29" ht="14.25" x14ac:dyDescent="0.3">
      <c r="A27" s="585"/>
      <c r="B27" s="606">
        <v>0.25090000000000001</v>
      </c>
      <c r="C27" s="607" t="str">
        <f t="shared" si="13"/>
        <v>Efekt mezispotřeby</v>
      </c>
      <c r="D27" s="608">
        <f t="shared" si="14"/>
        <v>0</v>
      </c>
      <c r="E27" s="2102">
        <f>E25*$B$27</f>
        <v>0</v>
      </c>
      <c r="F27" s="2103">
        <f t="shared" ref="F27:S27" si="16">F25*$B$27</f>
        <v>0</v>
      </c>
      <c r="G27" s="2103">
        <f t="shared" si="16"/>
        <v>0</v>
      </c>
      <c r="H27" s="2103">
        <f t="shared" si="16"/>
        <v>0</v>
      </c>
      <c r="I27" s="2103">
        <f t="shared" si="16"/>
        <v>0</v>
      </c>
      <c r="J27" s="2103">
        <f t="shared" si="16"/>
        <v>0</v>
      </c>
      <c r="K27" s="2103">
        <f t="shared" si="16"/>
        <v>0</v>
      </c>
      <c r="L27" s="2103">
        <f t="shared" si="16"/>
        <v>0</v>
      </c>
      <c r="M27" s="2103">
        <f t="shared" si="16"/>
        <v>0</v>
      </c>
      <c r="N27" s="2103">
        <f t="shared" si="16"/>
        <v>0</v>
      </c>
      <c r="O27" s="2103">
        <f t="shared" si="16"/>
        <v>0</v>
      </c>
      <c r="P27" s="2103">
        <f t="shared" si="16"/>
        <v>0</v>
      </c>
      <c r="Q27" s="2103">
        <f t="shared" si="16"/>
        <v>0</v>
      </c>
      <c r="R27" s="2103">
        <f t="shared" si="16"/>
        <v>0</v>
      </c>
      <c r="S27" s="2104">
        <f t="shared" si="16"/>
        <v>0</v>
      </c>
      <c r="T27" s="2025"/>
      <c r="U27" s="587"/>
      <c r="V27" s="587"/>
      <c r="W27" s="587"/>
      <c r="X27" s="587"/>
      <c r="Y27" s="587"/>
      <c r="Z27" s="587"/>
      <c r="AA27" s="587"/>
      <c r="AB27" s="587"/>
      <c r="AC27" s="590"/>
    </row>
    <row r="28" spans="1:29" ht="14.25" x14ac:dyDescent="0.3">
      <c r="A28" s="585"/>
      <c r="B28" s="609">
        <v>0.35499999999999998</v>
      </c>
      <c r="C28" s="610" t="str">
        <f t="shared" si="13"/>
        <v>Tržby z výroby a prodeje plavidel z tuzemska</v>
      </c>
      <c r="D28" s="611">
        <f t="shared" si="14"/>
        <v>0</v>
      </c>
      <c r="E28" s="734"/>
      <c r="F28" s="734"/>
      <c r="G28" s="734"/>
      <c r="H28" s="734"/>
      <c r="I28" s="734"/>
      <c r="J28" s="734"/>
      <c r="K28" s="734"/>
      <c r="L28" s="734"/>
      <c r="M28" s="734"/>
      <c r="N28" s="734"/>
      <c r="O28" s="734"/>
      <c r="P28" s="734"/>
      <c r="Q28" s="734"/>
      <c r="R28" s="734"/>
      <c r="S28" s="734"/>
      <c r="T28" s="2025"/>
      <c r="U28" s="587"/>
      <c r="V28" s="587"/>
      <c r="W28" s="587"/>
      <c r="X28" s="587"/>
      <c r="Y28" s="587"/>
      <c r="Z28" s="587"/>
      <c r="AA28" s="587"/>
      <c r="AB28" s="587"/>
      <c r="AC28" s="587"/>
    </row>
    <row r="29" spans="1:29" ht="14.25" x14ac:dyDescent="0.3">
      <c r="A29" s="585"/>
      <c r="B29" s="606">
        <v>0.1</v>
      </c>
      <c r="C29" s="607" t="str">
        <f t="shared" si="13"/>
        <v>Tržby z výroby a prodeje plavidel ze zahraničí</v>
      </c>
      <c r="D29" s="608">
        <f t="shared" si="14"/>
        <v>0</v>
      </c>
      <c r="E29" s="734"/>
      <c r="F29" s="734"/>
      <c r="G29" s="734"/>
      <c r="H29" s="734"/>
      <c r="I29" s="734"/>
      <c r="J29" s="734"/>
      <c r="K29" s="734"/>
      <c r="L29" s="734"/>
      <c r="M29" s="734"/>
      <c r="N29" s="734"/>
      <c r="O29" s="734"/>
      <c r="P29" s="734"/>
      <c r="Q29" s="734"/>
      <c r="R29" s="734"/>
      <c r="S29" s="734"/>
      <c r="T29" s="2025"/>
      <c r="U29" s="587"/>
      <c r="V29" s="587"/>
      <c r="W29" s="587"/>
      <c r="X29" s="587"/>
      <c r="Y29" s="587"/>
      <c r="Z29" s="587"/>
      <c r="AA29" s="587"/>
      <c r="AB29" s="587"/>
      <c r="AC29" s="587"/>
    </row>
    <row r="30" spans="1:29" ht="14.25" x14ac:dyDescent="0.3">
      <c r="A30" s="585"/>
      <c r="B30" s="612"/>
      <c r="C30" s="613" t="str">
        <f t="shared" si="13"/>
        <v>Přidaná hodnota výroby plavidel</v>
      </c>
      <c r="D30" s="614">
        <f t="shared" si="14"/>
        <v>0</v>
      </c>
      <c r="E30" s="735">
        <f>E28*$B$28+E29*$B$29</f>
        <v>0</v>
      </c>
      <c r="F30" s="735">
        <f t="shared" ref="F30:S30" si="17">F28*$B$7+F29*$B$8</f>
        <v>0</v>
      </c>
      <c r="G30" s="735">
        <f t="shared" si="17"/>
        <v>0</v>
      </c>
      <c r="H30" s="735">
        <f t="shared" si="17"/>
        <v>0</v>
      </c>
      <c r="I30" s="735">
        <f t="shared" si="17"/>
        <v>0</v>
      </c>
      <c r="J30" s="735">
        <f t="shared" si="17"/>
        <v>0</v>
      </c>
      <c r="K30" s="735">
        <f t="shared" si="17"/>
        <v>0</v>
      </c>
      <c r="L30" s="735">
        <f t="shared" si="17"/>
        <v>0</v>
      </c>
      <c r="M30" s="735">
        <f t="shared" si="17"/>
        <v>0</v>
      </c>
      <c r="N30" s="735">
        <f t="shared" si="17"/>
        <v>0</v>
      </c>
      <c r="O30" s="735">
        <f t="shared" si="17"/>
        <v>0</v>
      </c>
      <c r="P30" s="735">
        <f t="shared" si="17"/>
        <v>0</v>
      </c>
      <c r="Q30" s="735">
        <f t="shared" si="17"/>
        <v>0</v>
      </c>
      <c r="R30" s="735">
        <f t="shared" si="17"/>
        <v>0</v>
      </c>
      <c r="S30" s="736">
        <f t="shared" si="17"/>
        <v>0</v>
      </c>
      <c r="T30" s="587"/>
      <c r="U30" s="587"/>
      <c r="V30" s="587"/>
      <c r="W30" s="587"/>
      <c r="X30" s="587"/>
      <c r="Y30" s="587"/>
      <c r="Z30" s="587"/>
      <c r="AA30" s="587"/>
      <c r="AB30" s="587"/>
      <c r="AC30" s="587"/>
    </row>
    <row r="31" spans="1:29" ht="15" thickBot="1" x14ac:dyDescent="0.35">
      <c r="A31" s="585"/>
      <c r="B31" s="636"/>
      <c r="C31" s="637" t="str">
        <f t="shared" si="13"/>
        <v>Celkem</v>
      </c>
      <c r="D31" s="638">
        <f t="shared" si="14"/>
        <v>0</v>
      </c>
      <c r="E31" s="743">
        <f t="shared" ref="E31:S31" si="18">E26+E27+E30</f>
        <v>0</v>
      </c>
      <c r="F31" s="743">
        <f t="shared" si="18"/>
        <v>0</v>
      </c>
      <c r="G31" s="743">
        <f t="shared" si="18"/>
        <v>0</v>
      </c>
      <c r="H31" s="743">
        <f t="shared" si="18"/>
        <v>0</v>
      </c>
      <c r="I31" s="743">
        <f t="shared" si="18"/>
        <v>0</v>
      </c>
      <c r="J31" s="743">
        <f t="shared" si="18"/>
        <v>0</v>
      </c>
      <c r="K31" s="743">
        <f t="shared" si="18"/>
        <v>0</v>
      </c>
      <c r="L31" s="743">
        <f t="shared" si="18"/>
        <v>0</v>
      </c>
      <c r="M31" s="743">
        <f t="shared" si="18"/>
        <v>0</v>
      </c>
      <c r="N31" s="743">
        <f t="shared" si="18"/>
        <v>0</v>
      </c>
      <c r="O31" s="743">
        <f t="shared" si="18"/>
        <v>0</v>
      </c>
      <c r="P31" s="743">
        <f t="shared" si="18"/>
        <v>0</v>
      </c>
      <c r="Q31" s="743">
        <f t="shared" si="18"/>
        <v>0</v>
      </c>
      <c r="R31" s="743">
        <f t="shared" si="18"/>
        <v>0</v>
      </c>
      <c r="S31" s="744">
        <f t="shared" si="18"/>
        <v>0</v>
      </c>
      <c r="T31" s="593"/>
      <c r="U31" s="593"/>
      <c r="V31" s="593"/>
      <c r="W31" s="593"/>
      <c r="X31" s="593"/>
      <c r="Y31" s="593"/>
      <c r="Z31" s="593"/>
      <c r="AA31" s="593"/>
      <c r="AB31" s="593"/>
      <c r="AC31" s="679"/>
    </row>
    <row r="32" spans="1:29" ht="14.25" thickBot="1" x14ac:dyDescent="0.35">
      <c r="A32" s="585"/>
      <c r="B32" s="594"/>
      <c r="C32" s="585"/>
      <c r="D32" s="586"/>
      <c r="E32" s="586"/>
      <c r="F32" s="586"/>
      <c r="G32" s="586"/>
      <c r="H32" s="586"/>
      <c r="I32" s="586"/>
      <c r="J32" s="586"/>
      <c r="K32" s="586"/>
      <c r="L32" s="586"/>
      <c r="M32" s="586"/>
      <c r="N32" s="586"/>
      <c r="O32" s="586"/>
      <c r="P32" s="586"/>
      <c r="Q32" s="586"/>
      <c r="R32" s="586"/>
      <c r="S32" s="586"/>
      <c r="T32" s="590"/>
      <c r="U32" s="590"/>
      <c r="V32" s="590"/>
      <c r="W32" s="590"/>
      <c r="X32" s="590"/>
      <c r="Y32" s="590"/>
      <c r="Z32" s="590"/>
      <c r="AA32" s="590"/>
      <c r="AB32" s="590"/>
      <c r="AC32" s="590"/>
    </row>
    <row r="33" spans="1:29" ht="14.25" x14ac:dyDescent="0.3">
      <c r="A33" s="584"/>
      <c r="B33" s="630" t="str">
        <f>B23</f>
        <v>7.2.</v>
      </c>
      <c r="C33" s="631" t="str">
        <f>C23</f>
        <v>Osobní a rekreační plavba (CZK)</v>
      </c>
      <c r="D33" s="639"/>
      <c r="E33" s="2379">
        <f>S23+1</f>
        <v>2036</v>
      </c>
      <c r="F33" s="2373">
        <f t="shared" ref="F33:S33" si="19">E33+1</f>
        <v>2037</v>
      </c>
      <c r="G33" s="2373">
        <f t="shared" si="19"/>
        <v>2038</v>
      </c>
      <c r="H33" s="2373">
        <f t="shared" si="19"/>
        <v>2039</v>
      </c>
      <c r="I33" s="2373">
        <f t="shared" si="19"/>
        <v>2040</v>
      </c>
      <c r="J33" s="2373">
        <f t="shared" si="19"/>
        <v>2041</v>
      </c>
      <c r="K33" s="2373">
        <f t="shared" si="19"/>
        <v>2042</v>
      </c>
      <c r="L33" s="2373">
        <f t="shared" si="19"/>
        <v>2043</v>
      </c>
      <c r="M33" s="2373">
        <f t="shared" si="19"/>
        <v>2044</v>
      </c>
      <c r="N33" s="2373">
        <f t="shared" si="19"/>
        <v>2045</v>
      </c>
      <c r="O33" s="2373">
        <f t="shared" si="19"/>
        <v>2046</v>
      </c>
      <c r="P33" s="2373">
        <f t="shared" si="19"/>
        <v>2047</v>
      </c>
      <c r="Q33" s="2373">
        <f t="shared" si="19"/>
        <v>2048</v>
      </c>
      <c r="R33" s="2373">
        <f t="shared" si="19"/>
        <v>2049</v>
      </c>
      <c r="S33" s="2367">
        <f t="shared" si="19"/>
        <v>2050</v>
      </c>
      <c r="T33" s="669"/>
      <c r="U33" s="669"/>
      <c r="V33" s="669"/>
      <c r="W33" s="669"/>
      <c r="X33" s="669"/>
      <c r="Y33" s="669"/>
      <c r="Z33" s="669"/>
      <c r="AA33" s="669"/>
      <c r="AB33" s="669"/>
      <c r="AC33" s="669"/>
    </row>
    <row r="34" spans="1:29" ht="15" thickBot="1" x14ac:dyDescent="0.35">
      <c r="A34" s="585"/>
      <c r="B34" s="633" t="s">
        <v>24</v>
      </c>
      <c r="C34" s="640" t="str">
        <f t="shared" ref="C34:C41" si="20">C24</f>
        <v>Scénář bez projektu</v>
      </c>
      <c r="D34" s="641"/>
      <c r="E34" s="2380">
        <f>S24+1</f>
        <v>1</v>
      </c>
      <c r="F34" s="2374"/>
      <c r="G34" s="2374"/>
      <c r="H34" s="2374"/>
      <c r="I34" s="2374"/>
      <c r="J34" s="2374"/>
      <c r="K34" s="2374"/>
      <c r="L34" s="2374"/>
      <c r="M34" s="2374"/>
      <c r="N34" s="2374"/>
      <c r="O34" s="2374"/>
      <c r="P34" s="2374"/>
      <c r="Q34" s="2374"/>
      <c r="R34" s="2374"/>
      <c r="S34" s="2368"/>
      <c r="T34" s="669"/>
      <c r="U34" s="669"/>
      <c r="V34" s="669"/>
      <c r="W34" s="669"/>
      <c r="X34" s="669"/>
      <c r="Y34" s="669"/>
      <c r="Z34" s="669"/>
      <c r="AA34" s="669"/>
      <c r="AB34" s="669"/>
      <c r="AC34" s="669"/>
    </row>
    <row r="35" spans="1:29" ht="14.25" x14ac:dyDescent="0.3">
      <c r="A35" s="585"/>
      <c r="B35" s="621"/>
      <c r="C35" s="607" t="str">
        <f t="shared" si="20"/>
        <v>Celkové tržby</v>
      </c>
      <c r="D35" s="620"/>
      <c r="E35" s="2099"/>
      <c r="F35" s="2099"/>
      <c r="G35" s="2099"/>
      <c r="H35" s="2099"/>
      <c r="I35" s="2099"/>
      <c r="J35" s="2099"/>
      <c r="K35" s="2099"/>
      <c r="L35" s="2099"/>
      <c r="M35" s="2099"/>
      <c r="N35" s="2099"/>
      <c r="O35" s="2099"/>
      <c r="P35" s="2099"/>
      <c r="Q35" s="2099"/>
      <c r="R35" s="2099"/>
      <c r="S35" s="2099"/>
      <c r="T35" s="1981"/>
      <c r="U35" s="590"/>
      <c r="V35" s="590"/>
      <c r="W35" s="590"/>
      <c r="X35" s="590"/>
      <c r="Y35" s="590"/>
      <c r="Z35" s="590"/>
      <c r="AA35" s="590"/>
      <c r="AB35" s="590"/>
      <c r="AC35" s="590"/>
    </row>
    <row r="36" spans="1:29" ht="14.25" x14ac:dyDescent="0.3">
      <c r="A36" s="585"/>
      <c r="B36" s="621"/>
      <c r="C36" s="607" t="str">
        <f t="shared" si="20"/>
        <v>Přidaná hodnota segmentu trhu</v>
      </c>
      <c r="D36" s="622"/>
      <c r="E36" s="2101">
        <f>E35*$B$26</f>
        <v>0</v>
      </c>
      <c r="F36" s="732">
        <f t="shared" ref="F36:S36" si="21">F35*$B$26</f>
        <v>0</v>
      </c>
      <c r="G36" s="732">
        <f t="shared" si="21"/>
        <v>0</v>
      </c>
      <c r="H36" s="732">
        <f t="shared" si="21"/>
        <v>0</v>
      </c>
      <c r="I36" s="732">
        <f t="shared" si="21"/>
        <v>0</v>
      </c>
      <c r="J36" s="732">
        <f t="shared" si="21"/>
        <v>0</v>
      </c>
      <c r="K36" s="732">
        <f t="shared" si="21"/>
        <v>0</v>
      </c>
      <c r="L36" s="732">
        <f t="shared" si="21"/>
        <v>0</v>
      </c>
      <c r="M36" s="732">
        <f t="shared" si="21"/>
        <v>0</v>
      </c>
      <c r="N36" s="732">
        <f t="shared" si="21"/>
        <v>0</v>
      </c>
      <c r="O36" s="732">
        <f t="shared" si="21"/>
        <v>0</v>
      </c>
      <c r="P36" s="732">
        <f t="shared" si="21"/>
        <v>0</v>
      </c>
      <c r="Q36" s="732">
        <f t="shared" si="21"/>
        <v>0</v>
      </c>
      <c r="R36" s="732">
        <f t="shared" si="21"/>
        <v>0</v>
      </c>
      <c r="S36" s="733">
        <f t="shared" si="21"/>
        <v>0</v>
      </c>
      <c r="T36" s="1981"/>
      <c r="U36" s="590"/>
      <c r="V36" s="590"/>
      <c r="W36" s="590"/>
      <c r="X36" s="590"/>
      <c r="Y36" s="590"/>
      <c r="Z36" s="590"/>
      <c r="AA36" s="590"/>
      <c r="AB36" s="590"/>
      <c r="AC36" s="590"/>
    </row>
    <row r="37" spans="1:29" ht="14.25" x14ac:dyDescent="0.3">
      <c r="A37" s="585"/>
      <c r="B37" s="623"/>
      <c r="C37" s="613" t="str">
        <f t="shared" si="20"/>
        <v>Efekt mezispotřeby</v>
      </c>
      <c r="D37" s="2100"/>
      <c r="E37" s="2102">
        <f>E35*$B$27</f>
        <v>0</v>
      </c>
      <c r="F37" s="2105">
        <f t="shared" ref="F37:S37" si="22">F35*$B$27</f>
        <v>0</v>
      </c>
      <c r="G37" s="2105">
        <f t="shared" si="22"/>
        <v>0</v>
      </c>
      <c r="H37" s="2105">
        <f t="shared" si="22"/>
        <v>0</v>
      </c>
      <c r="I37" s="2105">
        <f t="shared" si="22"/>
        <v>0</v>
      </c>
      <c r="J37" s="2105">
        <f t="shared" si="22"/>
        <v>0</v>
      </c>
      <c r="K37" s="2105">
        <f t="shared" si="22"/>
        <v>0</v>
      </c>
      <c r="L37" s="2105">
        <f t="shared" si="22"/>
        <v>0</v>
      </c>
      <c r="M37" s="2105">
        <f t="shared" si="22"/>
        <v>0</v>
      </c>
      <c r="N37" s="2105">
        <f t="shared" si="22"/>
        <v>0</v>
      </c>
      <c r="O37" s="2105">
        <f t="shared" si="22"/>
        <v>0</v>
      </c>
      <c r="P37" s="2105">
        <f t="shared" si="22"/>
        <v>0</v>
      </c>
      <c r="Q37" s="2105">
        <f t="shared" si="22"/>
        <v>0</v>
      </c>
      <c r="R37" s="2105">
        <f t="shared" si="22"/>
        <v>0</v>
      </c>
      <c r="S37" s="2106">
        <f t="shared" si="22"/>
        <v>0</v>
      </c>
      <c r="T37" s="2025"/>
      <c r="U37" s="587"/>
      <c r="V37" s="587"/>
      <c r="W37" s="587"/>
      <c r="X37" s="587"/>
      <c r="Y37" s="587"/>
      <c r="Z37" s="587"/>
      <c r="AA37" s="587"/>
      <c r="AB37" s="587"/>
      <c r="AC37" s="590"/>
    </row>
    <row r="38" spans="1:29" ht="14.25" x14ac:dyDescent="0.3">
      <c r="A38" s="585"/>
      <c r="B38" s="624"/>
      <c r="C38" s="607" t="str">
        <f t="shared" si="20"/>
        <v>Tržby z výroby a prodeje plavidel z tuzemska</v>
      </c>
      <c r="D38" s="625"/>
      <c r="E38" s="739"/>
      <c r="F38" s="739"/>
      <c r="G38" s="739"/>
      <c r="H38" s="739"/>
      <c r="I38" s="739"/>
      <c r="J38" s="739"/>
      <c r="K38" s="739"/>
      <c r="L38" s="739"/>
      <c r="M38" s="739"/>
      <c r="N38" s="739"/>
      <c r="O38" s="739"/>
      <c r="P38" s="739"/>
      <c r="Q38" s="739"/>
      <c r="R38" s="739"/>
      <c r="S38" s="739"/>
      <c r="T38" s="1981"/>
      <c r="U38" s="590"/>
      <c r="V38" s="590"/>
      <c r="W38" s="590"/>
      <c r="X38" s="590"/>
      <c r="Y38" s="590"/>
      <c r="Z38" s="590"/>
      <c r="AA38" s="590"/>
      <c r="AB38" s="590"/>
      <c r="AC38" s="590"/>
    </row>
    <row r="39" spans="1:29" ht="14.25" x14ac:dyDescent="0.3">
      <c r="A39" s="585"/>
      <c r="B39" s="624"/>
      <c r="C39" s="607" t="str">
        <f t="shared" si="20"/>
        <v>Tržby z výroby a prodeje plavidel ze zahraničí</v>
      </c>
      <c r="D39" s="625"/>
      <c r="E39" s="739"/>
      <c r="F39" s="739"/>
      <c r="G39" s="739"/>
      <c r="H39" s="739"/>
      <c r="I39" s="739"/>
      <c r="J39" s="739"/>
      <c r="K39" s="739"/>
      <c r="L39" s="739"/>
      <c r="M39" s="739"/>
      <c r="N39" s="739"/>
      <c r="O39" s="739"/>
      <c r="P39" s="739"/>
      <c r="Q39" s="739"/>
      <c r="R39" s="739"/>
      <c r="S39" s="739"/>
      <c r="T39" s="1981"/>
      <c r="U39" s="590"/>
      <c r="V39" s="590"/>
      <c r="W39" s="590"/>
      <c r="X39" s="590"/>
      <c r="Y39" s="590"/>
      <c r="Z39" s="590"/>
      <c r="AA39" s="590"/>
      <c r="AB39" s="590"/>
      <c r="AC39" s="590"/>
    </row>
    <row r="40" spans="1:29" ht="14.25" x14ac:dyDescent="0.3">
      <c r="A40" s="585"/>
      <c r="B40" s="626"/>
      <c r="C40" s="607" t="str">
        <f t="shared" si="20"/>
        <v>Přidaná hodnota výroby plavidel</v>
      </c>
      <c r="D40" s="625"/>
      <c r="E40" s="731">
        <f>E38*$B$28+E39*$B$29</f>
        <v>0</v>
      </c>
      <c r="F40" s="731">
        <f t="shared" ref="F40:S40" si="23">F38*$B$28+F39*$B$29</f>
        <v>0</v>
      </c>
      <c r="G40" s="731">
        <f t="shared" si="23"/>
        <v>0</v>
      </c>
      <c r="H40" s="731">
        <f t="shared" si="23"/>
        <v>0</v>
      </c>
      <c r="I40" s="731">
        <f t="shared" si="23"/>
        <v>0</v>
      </c>
      <c r="J40" s="731">
        <f t="shared" si="23"/>
        <v>0</v>
      </c>
      <c r="K40" s="731">
        <f t="shared" si="23"/>
        <v>0</v>
      </c>
      <c r="L40" s="731">
        <f t="shared" si="23"/>
        <v>0</v>
      </c>
      <c r="M40" s="731">
        <f t="shared" si="23"/>
        <v>0</v>
      </c>
      <c r="N40" s="731">
        <f t="shared" si="23"/>
        <v>0</v>
      </c>
      <c r="O40" s="731">
        <f t="shared" si="23"/>
        <v>0</v>
      </c>
      <c r="P40" s="731">
        <f t="shared" si="23"/>
        <v>0</v>
      </c>
      <c r="Q40" s="731">
        <f t="shared" si="23"/>
        <v>0</v>
      </c>
      <c r="R40" s="731">
        <f t="shared" si="23"/>
        <v>0</v>
      </c>
      <c r="S40" s="740">
        <f t="shared" si="23"/>
        <v>0</v>
      </c>
      <c r="T40" s="587"/>
      <c r="U40" s="587"/>
      <c r="V40" s="587"/>
      <c r="W40" s="587"/>
      <c r="X40" s="587"/>
      <c r="Y40" s="587"/>
      <c r="Z40" s="587"/>
      <c r="AA40" s="587"/>
      <c r="AB40" s="587"/>
      <c r="AC40" s="587"/>
    </row>
    <row r="41" spans="1:29" ht="15" thickBot="1" x14ac:dyDescent="0.35">
      <c r="A41" s="591"/>
      <c r="B41" s="642"/>
      <c r="C41" s="643" t="str">
        <f t="shared" si="20"/>
        <v>Celkem</v>
      </c>
      <c r="D41" s="644"/>
      <c r="E41" s="745">
        <f t="shared" ref="E41:S41" si="24">E36+E37+E40</f>
        <v>0</v>
      </c>
      <c r="F41" s="746">
        <f t="shared" si="24"/>
        <v>0</v>
      </c>
      <c r="G41" s="746">
        <f t="shared" si="24"/>
        <v>0</v>
      </c>
      <c r="H41" s="746">
        <f t="shared" si="24"/>
        <v>0</v>
      </c>
      <c r="I41" s="746">
        <f t="shared" si="24"/>
        <v>0</v>
      </c>
      <c r="J41" s="746">
        <f t="shared" si="24"/>
        <v>0</v>
      </c>
      <c r="K41" s="746">
        <f t="shared" si="24"/>
        <v>0</v>
      </c>
      <c r="L41" s="746">
        <f t="shared" si="24"/>
        <v>0</v>
      </c>
      <c r="M41" s="746">
        <f t="shared" si="24"/>
        <v>0</v>
      </c>
      <c r="N41" s="746">
        <f t="shared" si="24"/>
        <v>0</v>
      </c>
      <c r="O41" s="746">
        <f t="shared" si="24"/>
        <v>0</v>
      </c>
      <c r="P41" s="746">
        <f t="shared" si="24"/>
        <v>0</v>
      </c>
      <c r="Q41" s="746">
        <f t="shared" si="24"/>
        <v>0</v>
      </c>
      <c r="R41" s="746">
        <f t="shared" si="24"/>
        <v>0</v>
      </c>
      <c r="S41" s="747">
        <f t="shared" si="24"/>
        <v>0</v>
      </c>
      <c r="T41" s="593"/>
      <c r="U41" s="593"/>
      <c r="V41" s="593"/>
      <c r="W41" s="593"/>
      <c r="X41" s="593"/>
      <c r="Y41" s="593"/>
      <c r="Z41" s="593"/>
      <c r="AA41" s="593"/>
      <c r="AB41" s="593"/>
      <c r="AC41" s="679"/>
    </row>
    <row r="42" spans="1:29" x14ac:dyDescent="0.3">
      <c r="A42" s="591"/>
      <c r="B42" s="592"/>
      <c r="C42" s="591"/>
      <c r="D42" s="586"/>
      <c r="E42" s="588"/>
      <c r="F42" s="588"/>
      <c r="G42" s="588"/>
      <c r="H42" s="588"/>
      <c r="I42" s="588"/>
      <c r="J42" s="588"/>
      <c r="K42" s="588"/>
      <c r="L42" s="588"/>
      <c r="M42" s="588"/>
      <c r="N42" s="588"/>
      <c r="O42" s="588"/>
      <c r="P42" s="588"/>
      <c r="Q42" s="588"/>
      <c r="R42" s="588"/>
      <c r="S42" s="588"/>
      <c r="T42" s="679"/>
      <c r="U42" s="679"/>
      <c r="V42" s="679"/>
      <c r="W42" s="679"/>
      <c r="X42" s="679"/>
      <c r="Y42" s="679"/>
      <c r="Z42" s="679"/>
      <c r="AA42" s="679"/>
      <c r="AB42" s="679"/>
      <c r="AC42" s="679"/>
    </row>
    <row r="43" spans="1:29" ht="14.25" thickBot="1" x14ac:dyDescent="0.35">
      <c r="A43" s="585"/>
      <c r="B43" s="592"/>
      <c r="C43" s="584"/>
      <c r="D43" s="586"/>
      <c r="E43" s="586"/>
      <c r="F43" s="586"/>
      <c r="G43" s="586"/>
      <c r="H43" s="586"/>
      <c r="I43" s="586"/>
      <c r="J43" s="586"/>
      <c r="K43" s="586"/>
      <c r="L43" s="586"/>
      <c r="M43" s="586"/>
      <c r="N43" s="586"/>
      <c r="O43" s="586"/>
      <c r="P43" s="586"/>
      <c r="Q43" s="586"/>
      <c r="R43" s="586"/>
      <c r="S43" s="586"/>
      <c r="T43" s="590"/>
      <c r="U43" s="590"/>
      <c r="V43" s="590"/>
      <c r="W43" s="590"/>
      <c r="X43" s="590"/>
      <c r="Y43" s="590"/>
      <c r="Z43" s="590"/>
      <c r="AA43" s="590"/>
      <c r="AB43" s="590"/>
      <c r="AC43" s="590"/>
    </row>
    <row r="44" spans="1:29" ht="14.25" x14ac:dyDescent="0.3">
      <c r="A44" s="584"/>
      <c r="B44" s="645" t="s">
        <v>18</v>
      </c>
      <c r="C44" s="646" t="str">
        <f>C33</f>
        <v>Osobní a rekreační plavba (CZK)</v>
      </c>
      <c r="D44" s="647"/>
      <c r="E44" s="2377">
        <f>E2</f>
        <v>2021</v>
      </c>
      <c r="F44" s="2377">
        <f t="shared" ref="F44:S44" si="25">E44+1</f>
        <v>2022</v>
      </c>
      <c r="G44" s="2377">
        <f t="shared" si="25"/>
        <v>2023</v>
      </c>
      <c r="H44" s="2377">
        <f t="shared" si="25"/>
        <v>2024</v>
      </c>
      <c r="I44" s="2377">
        <f t="shared" si="25"/>
        <v>2025</v>
      </c>
      <c r="J44" s="2377">
        <f t="shared" si="25"/>
        <v>2026</v>
      </c>
      <c r="K44" s="2377">
        <f t="shared" si="25"/>
        <v>2027</v>
      </c>
      <c r="L44" s="2377">
        <f t="shared" si="25"/>
        <v>2028</v>
      </c>
      <c r="M44" s="2377">
        <f t="shared" si="25"/>
        <v>2029</v>
      </c>
      <c r="N44" s="2377">
        <f t="shared" si="25"/>
        <v>2030</v>
      </c>
      <c r="O44" s="2377">
        <f t="shared" si="25"/>
        <v>2031</v>
      </c>
      <c r="P44" s="2377">
        <f t="shared" si="25"/>
        <v>2032</v>
      </c>
      <c r="Q44" s="2377">
        <f t="shared" si="25"/>
        <v>2033</v>
      </c>
      <c r="R44" s="2377">
        <f t="shared" si="25"/>
        <v>2034</v>
      </c>
      <c r="S44" s="2383">
        <f t="shared" si="25"/>
        <v>2035</v>
      </c>
      <c r="T44" s="669"/>
      <c r="U44" s="669"/>
      <c r="V44" s="669"/>
      <c r="W44" s="669"/>
      <c r="X44" s="669"/>
      <c r="Y44" s="669"/>
      <c r="Z44" s="669"/>
      <c r="AA44" s="669"/>
      <c r="AB44" s="669"/>
      <c r="AC44" s="669"/>
    </row>
    <row r="45" spans="1:29" ht="15" thickBot="1" x14ac:dyDescent="0.35">
      <c r="A45" s="584"/>
      <c r="B45" s="648" t="s">
        <v>23</v>
      </c>
      <c r="C45" s="649"/>
      <c r="D45" s="650" t="str">
        <f>D24</f>
        <v>Celkem</v>
      </c>
      <c r="E45" s="2524"/>
      <c r="F45" s="2524"/>
      <c r="G45" s="2524"/>
      <c r="H45" s="2524"/>
      <c r="I45" s="2524"/>
      <c r="J45" s="2524"/>
      <c r="K45" s="2524"/>
      <c r="L45" s="2524"/>
      <c r="M45" s="2524"/>
      <c r="N45" s="2524"/>
      <c r="O45" s="2524"/>
      <c r="P45" s="2524"/>
      <c r="Q45" s="2524"/>
      <c r="R45" s="2524"/>
      <c r="S45" s="2526"/>
      <c r="T45" s="669"/>
      <c r="U45" s="669"/>
      <c r="V45" s="669"/>
      <c r="W45" s="669"/>
      <c r="X45" s="669"/>
      <c r="Y45" s="669"/>
      <c r="Z45" s="669"/>
      <c r="AA45" s="669"/>
      <c r="AB45" s="669"/>
      <c r="AC45" s="669"/>
    </row>
    <row r="46" spans="1:29" ht="14.25" x14ac:dyDescent="0.3">
      <c r="A46" s="595"/>
      <c r="B46" s="651"/>
      <c r="C46" s="607" t="str">
        <f>IF('0 Úvod'!$M$10="English",Slovnik!D403,Slovnik!C403)</f>
        <v>Přidaná hodnota a efekt mezispotřeby</v>
      </c>
      <c r="D46" s="605">
        <f>SUM(E46:S46,E52:S52)</f>
        <v>0</v>
      </c>
      <c r="E46" s="732">
        <f t="shared" ref="E46:S46" si="26">E5+E6-E26-E27</f>
        <v>0</v>
      </c>
      <c r="F46" s="732">
        <f t="shared" si="26"/>
        <v>0</v>
      </c>
      <c r="G46" s="732">
        <f t="shared" si="26"/>
        <v>0</v>
      </c>
      <c r="H46" s="732">
        <f t="shared" si="26"/>
        <v>0</v>
      </c>
      <c r="I46" s="732">
        <f t="shared" si="26"/>
        <v>0</v>
      </c>
      <c r="J46" s="732">
        <f t="shared" si="26"/>
        <v>0</v>
      </c>
      <c r="K46" s="732">
        <f t="shared" si="26"/>
        <v>0</v>
      </c>
      <c r="L46" s="732">
        <f t="shared" si="26"/>
        <v>0</v>
      </c>
      <c r="M46" s="732">
        <f t="shared" si="26"/>
        <v>0</v>
      </c>
      <c r="N46" s="732">
        <f t="shared" si="26"/>
        <v>0</v>
      </c>
      <c r="O46" s="732">
        <f t="shared" si="26"/>
        <v>0</v>
      </c>
      <c r="P46" s="732">
        <f t="shared" si="26"/>
        <v>0</v>
      </c>
      <c r="Q46" s="732">
        <f t="shared" si="26"/>
        <v>0</v>
      </c>
      <c r="R46" s="732">
        <f t="shared" si="26"/>
        <v>0</v>
      </c>
      <c r="S46" s="733">
        <f t="shared" si="26"/>
        <v>0</v>
      </c>
      <c r="T46" s="590"/>
      <c r="U46" s="590"/>
      <c r="V46" s="590"/>
      <c r="W46" s="590"/>
      <c r="X46" s="590"/>
      <c r="Y46" s="590"/>
      <c r="Z46" s="590"/>
      <c r="AA46" s="590"/>
      <c r="AB46" s="590"/>
      <c r="AC46" s="590"/>
    </row>
    <row r="47" spans="1:29" ht="14.25" x14ac:dyDescent="0.3">
      <c r="A47" s="595"/>
      <c r="B47" s="626"/>
      <c r="C47" s="607" t="str">
        <f>IF('0 Úvod'!$M$10="English",Slovnik!D404,Slovnik!C404)</f>
        <v>Přidaná hodnota výroby plavidel</v>
      </c>
      <c r="D47" s="608">
        <f>SUM(E47:S47,E53:S53)</f>
        <v>0</v>
      </c>
      <c r="E47" s="732">
        <f t="shared" ref="E47:S47" si="27">E9-E30</f>
        <v>0</v>
      </c>
      <c r="F47" s="732">
        <f t="shared" si="27"/>
        <v>0</v>
      </c>
      <c r="G47" s="732">
        <f t="shared" si="27"/>
        <v>0</v>
      </c>
      <c r="H47" s="732">
        <f t="shared" si="27"/>
        <v>0</v>
      </c>
      <c r="I47" s="732">
        <f t="shared" si="27"/>
        <v>0</v>
      </c>
      <c r="J47" s="732">
        <f t="shared" si="27"/>
        <v>0</v>
      </c>
      <c r="K47" s="732">
        <f t="shared" si="27"/>
        <v>0</v>
      </c>
      <c r="L47" s="732">
        <f t="shared" si="27"/>
        <v>0</v>
      </c>
      <c r="M47" s="732">
        <f t="shared" si="27"/>
        <v>0</v>
      </c>
      <c r="N47" s="732">
        <f t="shared" si="27"/>
        <v>0</v>
      </c>
      <c r="O47" s="732">
        <f t="shared" si="27"/>
        <v>0</v>
      </c>
      <c r="P47" s="732">
        <f t="shared" si="27"/>
        <v>0</v>
      </c>
      <c r="Q47" s="732">
        <f t="shared" si="27"/>
        <v>0</v>
      </c>
      <c r="R47" s="732">
        <f t="shared" si="27"/>
        <v>0</v>
      </c>
      <c r="S47" s="733">
        <f t="shared" si="27"/>
        <v>0</v>
      </c>
      <c r="T47" s="590"/>
      <c r="U47" s="590"/>
      <c r="V47" s="590"/>
      <c r="W47" s="590"/>
      <c r="X47" s="590"/>
      <c r="Y47" s="590"/>
      <c r="Z47" s="590"/>
      <c r="AA47" s="590"/>
      <c r="AB47" s="590"/>
      <c r="AC47" s="590"/>
    </row>
    <row r="48" spans="1:29" ht="15" thickBot="1" x14ac:dyDescent="0.35">
      <c r="A48" s="585"/>
      <c r="B48" s="652"/>
      <c r="C48" s="653" t="str">
        <f>D24</f>
        <v>Celkem</v>
      </c>
      <c r="D48" s="654">
        <f>SUM(E48:AC48,E54:AC54)</f>
        <v>0</v>
      </c>
      <c r="E48" s="748">
        <f t="shared" ref="E48:S48" si="28">E10-E31</f>
        <v>0</v>
      </c>
      <c r="F48" s="748">
        <f t="shared" si="28"/>
        <v>0</v>
      </c>
      <c r="G48" s="748">
        <f t="shared" si="28"/>
        <v>0</v>
      </c>
      <c r="H48" s="748">
        <f t="shared" si="28"/>
        <v>0</v>
      </c>
      <c r="I48" s="748">
        <f t="shared" si="28"/>
        <v>0</v>
      </c>
      <c r="J48" s="748">
        <f t="shared" si="28"/>
        <v>0</v>
      </c>
      <c r="K48" s="748">
        <f t="shared" si="28"/>
        <v>0</v>
      </c>
      <c r="L48" s="748">
        <f t="shared" si="28"/>
        <v>0</v>
      </c>
      <c r="M48" s="748">
        <f t="shared" si="28"/>
        <v>0</v>
      </c>
      <c r="N48" s="748">
        <f t="shared" si="28"/>
        <v>0</v>
      </c>
      <c r="O48" s="748">
        <f t="shared" si="28"/>
        <v>0</v>
      </c>
      <c r="P48" s="748">
        <f t="shared" si="28"/>
        <v>0</v>
      </c>
      <c r="Q48" s="748">
        <f t="shared" si="28"/>
        <v>0</v>
      </c>
      <c r="R48" s="748">
        <f t="shared" si="28"/>
        <v>0</v>
      </c>
      <c r="S48" s="749">
        <f t="shared" si="28"/>
        <v>0</v>
      </c>
      <c r="T48" s="679"/>
      <c r="U48" s="679"/>
      <c r="V48" s="679"/>
      <c r="W48" s="679"/>
      <c r="X48" s="679"/>
      <c r="Y48" s="679"/>
      <c r="Z48" s="679"/>
      <c r="AA48" s="679"/>
      <c r="AB48" s="679"/>
      <c r="AC48" s="679"/>
    </row>
    <row r="49" spans="1:29" ht="14.25" thickBot="1" x14ac:dyDescent="0.35">
      <c r="A49" s="585"/>
      <c r="B49" s="589"/>
      <c r="C49" s="585"/>
      <c r="D49" s="586"/>
      <c r="E49" s="586"/>
      <c r="F49" s="586"/>
      <c r="G49" s="586"/>
      <c r="H49" s="586"/>
      <c r="I49" s="586"/>
      <c r="J49" s="586"/>
      <c r="K49" s="586"/>
      <c r="L49" s="586"/>
      <c r="M49" s="586"/>
      <c r="N49" s="586"/>
      <c r="O49" s="586"/>
      <c r="P49" s="586"/>
      <c r="Q49" s="586"/>
      <c r="R49" s="586"/>
      <c r="S49" s="586"/>
      <c r="T49" s="590"/>
      <c r="U49" s="590"/>
      <c r="V49" s="590"/>
      <c r="W49" s="590"/>
      <c r="X49" s="590"/>
      <c r="Y49" s="590"/>
      <c r="Z49" s="590"/>
      <c r="AA49" s="590"/>
      <c r="AB49" s="590"/>
      <c r="AC49" s="590"/>
    </row>
    <row r="50" spans="1:29" ht="14.25" x14ac:dyDescent="0.3">
      <c r="A50" s="584"/>
      <c r="B50" s="645" t="str">
        <f>B44</f>
        <v>7.3.</v>
      </c>
      <c r="C50" s="646" t="str">
        <f>C44</f>
        <v>Osobní a rekreační plavba (CZK)</v>
      </c>
      <c r="D50" s="647"/>
      <c r="E50" s="2381">
        <f>S44+1</f>
        <v>2036</v>
      </c>
      <c r="F50" s="2377">
        <f t="shared" ref="F50:S50" si="29">E50+1</f>
        <v>2037</v>
      </c>
      <c r="G50" s="2377">
        <f t="shared" si="29"/>
        <v>2038</v>
      </c>
      <c r="H50" s="2377">
        <f t="shared" si="29"/>
        <v>2039</v>
      </c>
      <c r="I50" s="2377">
        <f t="shared" si="29"/>
        <v>2040</v>
      </c>
      <c r="J50" s="2377">
        <f t="shared" si="29"/>
        <v>2041</v>
      </c>
      <c r="K50" s="2377">
        <f t="shared" si="29"/>
        <v>2042</v>
      </c>
      <c r="L50" s="2377">
        <f t="shared" si="29"/>
        <v>2043</v>
      </c>
      <c r="M50" s="2377">
        <f t="shared" si="29"/>
        <v>2044</v>
      </c>
      <c r="N50" s="2377">
        <f t="shared" si="29"/>
        <v>2045</v>
      </c>
      <c r="O50" s="2377">
        <f t="shared" si="29"/>
        <v>2046</v>
      </c>
      <c r="P50" s="2377">
        <f t="shared" si="29"/>
        <v>2047</v>
      </c>
      <c r="Q50" s="2377">
        <f t="shared" si="29"/>
        <v>2048</v>
      </c>
      <c r="R50" s="2377">
        <f t="shared" si="29"/>
        <v>2049</v>
      </c>
      <c r="S50" s="2383">
        <f t="shared" si="29"/>
        <v>2050</v>
      </c>
      <c r="T50" s="669"/>
      <c r="U50" s="669"/>
      <c r="V50" s="669"/>
      <c r="W50" s="669"/>
      <c r="X50" s="669"/>
      <c r="Y50" s="669"/>
      <c r="Z50" s="669"/>
      <c r="AA50" s="669"/>
      <c r="AB50" s="669"/>
      <c r="AC50" s="669"/>
    </row>
    <row r="51" spans="1:29" ht="15" thickBot="1" x14ac:dyDescent="0.35">
      <c r="A51" s="584"/>
      <c r="B51" s="648" t="s">
        <v>24</v>
      </c>
      <c r="C51" s="655"/>
      <c r="D51" s="656"/>
      <c r="E51" s="2525">
        <f>S45+1</f>
        <v>1</v>
      </c>
      <c r="F51" s="2524"/>
      <c r="G51" s="2524"/>
      <c r="H51" s="2524"/>
      <c r="I51" s="2524"/>
      <c r="J51" s="2524"/>
      <c r="K51" s="2524"/>
      <c r="L51" s="2524"/>
      <c r="M51" s="2524"/>
      <c r="N51" s="2524"/>
      <c r="O51" s="2524"/>
      <c r="P51" s="2524"/>
      <c r="Q51" s="2524"/>
      <c r="R51" s="2524"/>
      <c r="S51" s="2526"/>
      <c r="T51" s="669"/>
      <c r="U51" s="669"/>
      <c r="V51" s="669"/>
      <c r="W51" s="669"/>
      <c r="X51" s="669"/>
      <c r="Y51" s="669"/>
      <c r="Z51" s="669"/>
      <c r="AA51" s="669"/>
      <c r="AB51" s="669"/>
      <c r="AC51" s="669"/>
    </row>
    <row r="52" spans="1:29" ht="14.25" x14ac:dyDescent="0.3">
      <c r="A52" s="595"/>
      <c r="B52" s="657"/>
      <c r="C52" s="604" t="str">
        <f>C46</f>
        <v>Přidaná hodnota a efekt mezispotřeby</v>
      </c>
      <c r="D52" s="658"/>
      <c r="E52" s="732">
        <f t="shared" ref="E52:S52" si="30">E15+E16-E36-E37</f>
        <v>0</v>
      </c>
      <c r="F52" s="732">
        <f t="shared" si="30"/>
        <v>0</v>
      </c>
      <c r="G52" s="732">
        <f t="shared" si="30"/>
        <v>0</v>
      </c>
      <c r="H52" s="732">
        <f t="shared" si="30"/>
        <v>0</v>
      </c>
      <c r="I52" s="732">
        <f t="shared" si="30"/>
        <v>0</v>
      </c>
      <c r="J52" s="732">
        <f t="shared" si="30"/>
        <v>0</v>
      </c>
      <c r="K52" s="732">
        <f t="shared" si="30"/>
        <v>0</v>
      </c>
      <c r="L52" s="732">
        <f t="shared" si="30"/>
        <v>0</v>
      </c>
      <c r="M52" s="732">
        <f t="shared" si="30"/>
        <v>0</v>
      </c>
      <c r="N52" s="732">
        <f t="shared" si="30"/>
        <v>0</v>
      </c>
      <c r="O52" s="732">
        <f t="shared" si="30"/>
        <v>0</v>
      </c>
      <c r="P52" s="732">
        <f t="shared" si="30"/>
        <v>0</v>
      </c>
      <c r="Q52" s="732">
        <f t="shared" si="30"/>
        <v>0</v>
      </c>
      <c r="R52" s="732">
        <f t="shared" si="30"/>
        <v>0</v>
      </c>
      <c r="S52" s="733">
        <f t="shared" si="30"/>
        <v>0</v>
      </c>
      <c r="T52" s="590"/>
      <c r="U52" s="590"/>
      <c r="V52" s="590"/>
      <c r="W52" s="590"/>
      <c r="X52" s="590"/>
      <c r="Y52" s="590"/>
      <c r="Z52" s="590"/>
      <c r="AA52" s="590"/>
      <c r="AB52" s="590"/>
      <c r="AC52" s="590"/>
    </row>
    <row r="53" spans="1:29" ht="14.25" x14ac:dyDescent="0.3">
      <c r="A53" s="595"/>
      <c r="B53" s="626"/>
      <c r="C53" s="607" t="str">
        <f>C47</f>
        <v>Přidaná hodnota výroby plavidel</v>
      </c>
      <c r="D53" s="625"/>
      <c r="E53" s="732">
        <f t="shared" ref="E53:S53" si="31">E19-E40</f>
        <v>0</v>
      </c>
      <c r="F53" s="732">
        <f t="shared" si="31"/>
        <v>0</v>
      </c>
      <c r="G53" s="732">
        <f t="shared" si="31"/>
        <v>0</v>
      </c>
      <c r="H53" s="732">
        <f t="shared" si="31"/>
        <v>0</v>
      </c>
      <c r="I53" s="732">
        <f t="shared" si="31"/>
        <v>0</v>
      </c>
      <c r="J53" s="732">
        <f t="shared" si="31"/>
        <v>0</v>
      </c>
      <c r="K53" s="732">
        <f t="shared" si="31"/>
        <v>0</v>
      </c>
      <c r="L53" s="732">
        <f t="shared" si="31"/>
        <v>0</v>
      </c>
      <c r="M53" s="732">
        <f t="shared" si="31"/>
        <v>0</v>
      </c>
      <c r="N53" s="732">
        <f t="shared" si="31"/>
        <v>0</v>
      </c>
      <c r="O53" s="732">
        <f t="shared" si="31"/>
        <v>0</v>
      </c>
      <c r="P53" s="732">
        <f t="shared" si="31"/>
        <v>0</v>
      </c>
      <c r="Q53" s="732">
        <f t="shared" si="31"/>
        <v>0</v>
      </c>
      <c r="R53" s="732">
        <f t="shared" si="31"/>
        <v>0</v>
      </c>
      <c r="S53" s="733">
        <f t="shared" si="31"/>
        <v>0</v>
      </c>
      <c r="T53" s="590"/>
      <c r="U53" s="590"/>
      <c r="V53" s="590"/>
      <c r="W53" s="590"/>
      <c r="X53" s="590"/>
      <c r="Y53" s="590"/>
      <c r="Z53" s="590"/>
      <c r="AA53" s="590"/>
      <c r="AB53" s="590"/>
      <c r="AC53" s="590"/>
    </row>
    <row r="54" spans="1:29" ht="15" thickBot="1" x14ac:dyDescent="0.35">
      <c r="A54" s="585"/>
      <c r="B54" s="652"/>
      <c r="C54" s="653" t="str">
        <f>C48</f>
        <v>Celkem</v>
      </c>
      <c r="D54" s="659"/>
      <c r="E54" s="748">
        <f t="shared" ref="E54:S54" si="32">E20-E41</f>
        <v>0</v>
      </c>
      <c r="F54" s="748">
        <f t="shared" si="32"/>
        <v>0</v>
      </c>
      <c r="G54" s="748">
        <f t="shared" si="32"/>
        <v>0</v>
      </c>
      <c r="H54" s="748">
        <f t="shared" si="32"/>
        <v>0</v>
      </c>
      <c r="I54" s="748">
        <f t="shared" si="32"/>
        <v>0</v>
      </c>
      <c r="J54" s="748">
        <f t="shared" si="32"/>
        <v>0</v>
      </c>
      <c r="K54" s="748">
        <f t="shared" si="32"/>
        <v>0</v>
      </c>
      <c r="L54" s="748">
        <f t="shared" si="32"/>
        <v>0</v>
      </c>
      <c r="M54" s="748">
        <f t="shared" si="32"/>
        <v>0</v>
      </c>
      <c r="N54" s="748">
        <f t="shared" si="32"/>
        <v>0</v>
      </c>
      <c r="O54" s="748">
        <f t="shared" si="32"/>
        <v>0</v>
      </c>
      <c r="P54" s="748">
        <f t="shared" si="32"/>
        <v>0</v>
      </c>
      <c r="Q54" s="748">
        <f t="shared" si="32"/>
        <v>0</v>
      </c>
      <c r="R54" s="748">
        <f t="shared" si="32"/>
        <v>0</v>
      </c>
      <c r="S54" s="749">
        <f t="shared" si="32"/>
        <v>0</v>
      </c>
      <c r="T54" s="679"/>
      <c r="U54" s="679"/>
      <c r="V54" s="679"/>
      <c r="W54" s="679"/>
      <c r="X54" s="679"/>
      <c r="Y54" s="679"/>
      <c r="Z54" s="679"/>
      <c r="AA54" s="679"/>
      <c r="AB54" s="679"/>
      <c r="AC54" s="679"/>
    </row>
    <row r="55" spans="1:29" x14ac:dyDescent="0.3">
      <c r="B55" s="581"/>
      <c r="C55" s="581"/>
      <c r="D55" s="581"/>
      <c r="E55" s="946"/>
      <c r="F55" s="2107"/>
      <c r="G55" s="1387"/>
      <c r="H55" s="946"/>
      <c r="I55" s="946"/>
      <c r="J55" s="946"/>
      <c r="K55" s="946"/>
      <c r="L55" s="946"/>
      <c r="M55" s="946"/>
      <c r="N55" s="946"/>
      <c r="O55" s="946"/>
      <c r="P55" s="946"/>
      <c r="Q55" s="946"/>
      <c r="R55" s="946"/>
      <c r="S55" s="946"/>
    </row>
    <row r="56" spans="1:29" ht="14.25" thickBot="1" x14ac:dyDescent="0.35">
      <c r="B56" s="581"/>
      <c r="C56" s="581"/>
      <c r="D56" s="581"/>
      <c r="E56" s="946"/>
      <c r="F56" s="2107"/>
      <c r="G56" s="1387"/>
      <c r="H56" s="946"/>
      <c r="I56" s="946"/>
      <c r="J56" s="946"/>
      <c r="K56" s="946"/>
      <c r="L56" s="946"/>
      <c r="M56" s="946"/>
      <c r="N56" s="946"/>
      <c r="O56" s="946"/>
      <c r="P56" s="946"/>
      <c r="Q56" s="946"/>
      <c r="R56" s="946"/>
      <c r="S56" s="946"/>
    </row>
    <row r="57" spans="1:29" ht="14.25" x14ac:dyDescent="0.3">
      <c r="B57" s="574"/>
      <c r="C57" s="575" t="str">
        <f>IF('0 Úvod'!$M$10="English",Slovnik!D405,Slovnik!C405)</f>
        <v>Scénář s projektem (CZK)</v>
      </c>
      <c r="D57" s="428">
        <f>D10</f>
        <v>0</v>
      </c>
      <c r="E57" s="946"/>
      <c r="F57" s="2107"/>
      <c r="G57" s="1387"/>
      <c r="H57" s="946"/>
      <c r="I57" s="946"/>
      <c r="J57" s="946"/>
      <c r="K57" s="946"/>
      <c r="L57" s="946"/>
      <c r="M57" s="946"/>
      <c r="N57" s="946"/>
      <c r="O57" s="946"/>
      <c r="P57" s="946"/>
      <c r="Q57" s="946"/>
      <c r="R57" s="946"/>
      <c r="S57" s="946"/>
    </row>
    <row r="58" spans="1:29" ht="14.25" x14ac:dyDescent="0.3">
      <c r="B58" s="576"/>
      <c r="C58" s="577" t="str">
        <f>IF('0 Úvod'!$M$10="English",Slovnik!D406,Slovnik!C406)</f>
        <v>Scénář bez projektu (CZK)</v>
      </c>
      <c r="D58" s="429">
        <f>D31</f>
        <v>0</v>
      </c>
      <c r="E58" s="946"/>
      <c r="F58" s="2107"/>
      <c r="G58" s="1387"/>
      <c r="H58" s="946"/>
      <c r="I58" s="946"/>
      <c r="J58" s="2108"/>
      <c r="K58" s="2108"/>
      <c r="L58" s="2108"/>
      <c r="M58" s="2108"/>
      <c r="N58" s="946"/>
      <c r="O58" s="946"/>
      <c r="P58" s="946"/>
      <c r="Q58" s="946"/>
      <c r="R58" s="946"/>
      <c r="S58" s="946"/>
    </row>
    <row r="59" spans="1:29" ht="15" thickBot="1" x14ac:dyDescent="0.35">
      <c r="B59" s="578"/>
      <c r="C59" s="579" t="str">
        <f>IF('0 Úvod'!$M$10="English",Slovnik!D407,Slovnik!C407)</f>
        <v>Přírůstek cash-flow (CZK)</v>
      </c>
      <c r="D59" s="430">
        <f>D48</f>
        <v>0</v>
      </c>
      <c r="E59" s="946"/>
      <c r="F59" s="946"/>
      <c r="G59" s="946"/>
      <c r="H59" s="946"/>
      <c r="I59" s="962"/>
      <c r="J59" s="2108"/>
      <c r="K59" s="2108"/>
      <c r="L59" s="2108"/>
      <c r="M59" s="2108"/>
      <c r="N59" s="962"/>
      <c r="O59" s="946"/>
      <c r="P59" s="946"/>
      <c r="Q59" s="946"/>
      <c r="R59" s="946"/>
      <c r="S59" s="946"/>
    </row>
    <row r="60" spans="1:29" ht="14.25" x14ac:dyDescent="0.3">
      <c r="B60" s="596"/>
      <c r="E60" s="946"/>
      <c r="F60" s="946"/>
      <c r="G60" s="946"/>
      <c r="H60" s="946"/>
      <c r="I60" s="946"/>
      <c r="J60" s="946"/>
      <c r="K60" s="946"/>
      <c r="L60" s="946"/>
      <c r="M60" s="946"/>
      <c r="N60" s="946"/>
      <c r="O60" s="946"/>
      <c r="P60" s="946"/>
      <c r="Q60" s="946"/>
      <c r="R60" s="946"/>
      <c r="S60" s="946"/>
    </row>
    <row r="61" spans="1:29" ht="15" thickBot="1" x14ac:dyDescent="0.35">
      <c r="B61" s="596"/>
      <c r="E61" s="946"/>
      <c r="F61" s="946"/>
      <c r="G61" s="946"/>
      <c r="H61" s="946"/>
      <c r="I61" s="946"/>
      <c r="J61" s="946"/>
      <c r="K61" s="946"/>
      <c r="L61" s="946"/>
      <c r="M61" s="946"/>
      <c r="N61" s="946"/>
      <c r="O61" s="946"/>
      <c r="P61" s="946"/>
      <c r="Q61" s="946"/>
      <c r="R61" s="946"/>
      <c r="S61" s="946"/>
    </row>
    <row r="62" spans="1:29" ht="14.25" customHeight="1" x14ac:dyDescent="0.3">
      <c r="B62" s="2527" t="str">
        <f>IF('0 Úvod'!$M$10="English",Slovnik!$D$408,Slovnik!$C$408)</f>
        <v>Komentáře</v>
      </c>
      <c r="C62" s="2528"/>
      <c r="D62" s="2528"/>
      <c r="E62" s="2528"/>
      <c r="F62" s="2528"/>
      <c r="G62" s="2528"/>
      <c r="H62" s="2528"/>
      <c r="I62" s="2528"/>
      <c r="J62" s="2528"/>
      <c r="K62" s="2528"/>
      <c r="L62" s="2528"/>
      <c r="M62" s="2528"/>
      <c r="N62" s="2528"/>
      <c r="O62" s="2528"/>
      <c r="P62" s="2528"/>
      <c r="Q62" s="2529"/>
      <c r="R62" s="2529"/>
      <c r="S62" s="2530"/>
    </row>
    <row r="63" spans="1:29" ht="14.25" customHeight="1" thickBot="1" x14ac:dyDescent="0.35">
      <c r="B63" s="2531"/>
      <c r="C63" s="2532"/>
      <c r="D63" s="2532"/>
      <c r="E63" s="2532"/>
      <c r="F63" s="2532"/>
      <c r="G63" s="2532"/>
      <c r="H63" s="2532"/>
      <c r="I63" s="2532"/>
      <c r="J63" s="2532"/>
      <c r="K63" s="2532"/>
      <c r="L63" s="2532"/>
      <c r="M63" s="2532"/>
      <c r="N63" s="2532"/>
      <c r="O63" s="2532"/>
      <c r="P63" s="2532"/>
      <c r="Q63" s="2533"/>
      <c r="R63" s="2533"/>
      <c r="S63" s="2534"/>
    </row>
    <row r="64" spans="1:29" ht="18.75" customHeight="1" thickBot="1" x14ac:dyDescent="0.35">
      <c r="B64" s="660" t="str">
        <f>IF('0 Úvod'!$M$10="English",Slovnik!$E$403,Slovnik!$E$402)</f>
        <v>Průměrné hodnoty efektu přidané hodnoty trhu, výroby plavidel a efektu mezispotřeby byly převzaty z kapitoly 8.1.15 Rezortní metodiky. Hodnoty celkových tržeb stanoví zpracovatel na základě přepravní prognózy.</v>
      </c>
      <c r="C64" s="661"/>
      <c r="D64" s="661"/>
      <c r="E64" s="661"/>
      <c r="F64" s="661"/>
      <c r="G64" s="661"/>
      <c r="H64" s="661"/>
      <c r="I64" s="661"/>
      <c r="J64" s="661"/>
      <c r="K64" s="661"/>
      <c r="L64" s="661"/>
      <c r="M64" s="661"/>
      <c r="N64" s="661"/>
      <c r="O64" s="661"/>
      <c r="P64" s="661"/>
      <c r="Q64" s="662"/>
      <c r="R64" s="662"/>
      <c r="S64" s="663"/>
    </row>
    <row r="65" spans="2:16" s="946" customFormat="1" ht="12.75" customHeight="1" x14ac:dyDescent="0.3">
      <c r="B65" s="1896"/>
      <c r="C65" s="1896"/>
      <c r="D65" s="1896"/>
      <c r="E65" s="1896"/>
      <c r="F65" s="1896"/>
      <c r="G65" s="1896"/>
      <c r="H65" s="1896"/>
      <c r="I65" s="1896"/>
      <c r="J65" s="1896"/>
      <c r="K65" s="1896"/>
      <c r="L65" s="1896"/>
      <c r="M65" s="1896"/>
      <c r="N65" s="1896"/>
      <c r="O65" s="1896"/>
      <c r="P65" s="1896"/>
    </row>
    <row r="66" spans="2:16" s="946" customFormat="1" ht="12.75" customHeight="1" x14ac:dyDescent="0.3">
      <c r="B66" s="1897"/>
      <c r="C66" s="1897"/>
      <c r="D66" s="1897"/>
      <c r="E66" s="1897"/>
      <c r="F66" s="1897"/>
      <c r="G66" s="1897"/>
      <c r="H66" s="1897"/>
      <c r="I66" s="1897"/>
      <c r="J66" s="1897"/>
      <c r="K66" s="1897"/>
      <c r="L66" s="1897"/>
      <c r="M66" s="1897"/>
      <c r="N66" s="1897"/>
      <c r="O66" s="1897"/>
      <c r="P66" s="1897"/>
    </row>
    <row r="67" spans="2:16" s="946" customFormat="1" x14ac:dyDescent="0.3"/>
    <row r="68" spans="2:16" s="946" customFormat="1" x14ac:dyDescent="0.3"/>
    <row r="69" spans="2:16" s="946" customFormat="1" x14ac:dyDescent="0.3"/>
    <row r="70" spans="2:16" s="946" customFormat="1" x14ac:dyDescent="0.3"/>
    <row r="71" spans="2:16" s="946" customFormat="1" x14ac:dyDescent="0.3"/>
    <row r="72" spans="2:16" s="946" customFormat="1" x14ac:dyDescent="0.3"/>
    <row r="73" spans="2:16" s="946" customFormat="1" x14ac:dyDescent="0.3"/>
    <row r="74" spans="2:16" s="946" customFormat="1" x14ac:dyDescent="0.3"/>
    <row r="75" spans="2:16" s="946" customFormat="1" x14ac:dyDescent="0.3"/>
    <row r="76" spans="2:16" s="946" customFormat="1" x14ac:dyDescent="0.3"/>
    <row r="77" spans="2:16" s="946" customFormat="1" x14ac:dyDescent="0.3"/>
    <row r="78" spans="2:16" s="946" customFormat="1" x14ac:dyDescent="0.3"/>
    <row r="79" spans="2:16" s="946" customFormat="1" x14ac:dyDescent="0.3"/>
    <row r="80" spans="2:16" s="946" customFormat="1" x14ac:dyDescent="0.3"/>
    <row r="81" s="946" customFormat="1" x14ac:dyDescent="0.3"/>
    <row r="82" s="946" customFormat="1" x14ac:dyDescent="0.3"/>
    <row r="83" s="946" customFormat="1" x14ac:dyDescent="0.3"/>
    <row r="84" s="946" customFormat="1" x14ac:dyDescent="0.3"/>
    <row r="85" s="946" customFormat="1" x14ac:dyDescent="0.3"/>
    <row r="86" s="946" customFormat="1" x14ac:dyDescent="0.3"/>
    <row r="87" s="946" customFormat="1" x14ac:dyDescent="0.3"/>
    <row r="88" s="946" customFormat="1" x14ac:dyDescent="0.3"/>
    <row r="89" s="946" customFormat="1" x14ac:dyDescent="0.3"/>
    <row r="90" s="946" customFormat="1" x14ac:dyDescent="0.3"/>
    <row r="91" s="946" customFormat="1" x14ac:dyDescent="0.3"/>
    <row r="92" s="946" customFormat="1" x14ac:dyDescent="0.3"/>
    <row r="93" s="946" customFormat="1" x14ac:dyDescent="0.3"/>
    <row r="94" s="946" customFormat="1" x14ac:dyDescent="0.3"/>
    <row r="95" s="946" customFormat="1" x14ac:dyDescent="0.3"/>
    <row r="96" s="946" customFormat="1" x14ac:dyDescent="0.3"/>
    <row r="97" s="946" customFormat="1" x14ac:dyDescent="0.3"/>
    <row r="98" s="946" customFormat="1" x14ac:dyDescent="0.3"/>
    <row r="99" s="946" customFormat="1" x14ac:dyDescent="0.3"/>
    <row r="100" s="946" customFormat="1" x14ac:dyDescent="0.3"/>
    <row r="101" s="946" customFormat="1" x14ac:dyDescent="0.3"/>
    <row r="102" s="946" customFormat="1" x14ac:dyDescent="0.3"/>
    <row r="103" s="946" customFormat="1" x14ac:dyDescent="0.3"/>
    <row r="104" s="946" customFormat="1" x14ac:dyDescent="0.3"/>
    <row r="105" s="946" customFormat="1" x14ac:dyDescent="0.3"/>
    <row r="106" s="946" customFormat="1" x14ac:dyDescent="0.3"/>
    <row r="107" s="946" customFormat="1" x14ac:dyDescent="0.3"/>
    <row r="108" s="946" customFormat="1" x14ac:dyDescent="0.3"/>
    <row r="109" s="946" customFormat="1" x14ac:dyDescent="0.3"/>
    <row r="110" s="946" customFormat="1" x14ac:dyDescent="0.3"/>
    <row r="111" s="946" customFormat="1" x14ac:dyDescent="0.3"/>
    <row r="112" s="946" customFormat="1" x14ac:dyDescent="0.3"/>
    <row r="113" s="946" customFormat="1" x14ac:dyDescent="0.3"/>
    <row r="114" s="946" customFormat="1" x14ac:dyDescent="0.3"/>
    <row r="115" s="946" customFormat="1" x14ac:dyDescent="0.3"/>
    <row r="116" s="946" customFormat="1" x14ac:dyDescent="0.3"/>
    <row r="117" s="946" customFormat="1" x14ac:dyDescent="0.3"/>
    <row r="118" s="946" customFormat="1" x14ac:dyDescent="0.3"/>
    <row r="119" s="946" customFormat="1" x14ac:dyDescent="0.3"/>
    <row r="120" s="946" customFormat="1" x14ac:dyDescent="0.3"/>
    <row r="121" s="946" customFormat="1" x14ac:dyDescent="0.3"/>
    <row r="122" s="946" customFormat="1" x14ac:dyDescent="0.3"/>
    <row r="123" s="946" customFormat="1" x14ac:dyDescent="0.3"/>
    <row r="124" s="946" customFormat="1" x14ac:dyDescent="0.3"/>
    <row r="125" s="946" customFormat="1" x14ac:dyDescent="0.3"/>
    <row r="126" s="946" customFormat="1" x14ac:dyDescent="0.3"/>
    <row r="127" s="946" customFormat="1" x14ac:dyDescent="0.3"/>
    <row r="128" s="946" customFormat="1" x14ac:dyDescent="0.3"/>
    <row r="129" s="946" customFormat="1" x14ac:dyDescent="0.3"/>
    <row r="130" s="946" customFormat="1" x14ac:dyDescent="0.3"/>
    <row r="131" s="946" customFormat="1" x14ac:dyDescent="0.3"/>
    <row r="132" s="946" customFormat="1" x14ac:dyDescent="0.3"/>
    <row r="133" s="946" customFormat="1" x14ac:dyDescent="0.3"/>
    <row r="134" s="946" customFormat="1" x14ac:dyDescent="0.3"/>
    <row r="135" s="946" customFormat="1" x14ac:dyDescent="0.3"/>
    <row r="136" s="946" customFormat="1" x14ac:dyDescent="0.3"/>
    <row r="137" s="946" customFormat="1" x14ac:dyDescent="0.3"/>
    <row r="138" s="946" customFormat="1" x14ac:dyDescent="0.3"/>
    <row r="139" s="946" customFormat="1" x14ac:dyDescent="0.3"/>
    <row r="140" s="946" customFormat="1" x14ac:dyDescent="0.3"/>
    <row r="141" s="946" customFormat="1" x14ac:dyDescent="0.3"/>
    <row r="142" s="946" customFormat="1" x14ac:dyDescent="0.3"/>
    <row r="143" s="946" customFormat="1" x14ac:dyDescent="0.3"/>
    <row r="144" s="946" customFormat="1" x14ac:dyDescent="0.3"/>
    <row r="145" s="946" customFormat="1" x14ac:dyDescent="0.3"/>
    <row r="146" s="946" customFormat="1" x14ac:dyDescent="0.3"/>
    <row r="147" s="946" customFormat="1" x14ac:dyDescent="0.3"/>
    <row r="148" s="946" customFormat="1" x14ac:dyDescent="0.3"/>
    <row r="149" s="946" customFormat="1" x14ac:dyDescent="0.3"/>
    <row r="150" s="946" customFormat="1" x14ac:dyDescent="0.3"/>
    <row r="151" s="946" customFormat="1" x14ac:dyDescent="0.3"/>
    <row r="152" s="946" customFormat="1" x14ac:dyDescent="0.3"/>
    <row r="153" s="946" customFormat="1" x14ac:dyDescent="0.3"/>
    <row r="154" s="946" customFormat="1" x14ac:dyDescent="0.3"/>
    <row r="155" s="946" customFormat="1" x14ac:dyDescent="0.3"/>
    <row r="156" s="946" customFormat="1" x14ac:dyDescent="0.3"/>
    <row r="157" s="946" customFormat="1" x14ac:dyDescent="0.3"/>
    <row r="158" s="946" customFormat="1" x14ac:dyDescent="0.3"/>
    <row r="159" s="946" customFormat="1" x14ac:dyDescent="0.3"/>
    <row r="160" s="946" customFormat="1" x14ac:dyDescent="0.3"/>
    <row r="161" s="946" customFormat="1" x14ac:dyDescent="0.3"/>
    <row r="162" s="946" customFormat="1" x14ac:dyDescent="0.3"/>
    <row r="163" s="946" customFormat="1" x14ac:dyDescent="0.3"/>
    <row r="164" s="946" customFormat="1" x14ac:dyDescent="0.3"/>
    <row r="165" s="946" customFormat="1" x14ac:dyDescent="0.3"/>
    <row r="166" s="946" customFormat="1" x14ac:dyDescent="0.3"/>
    <row r="167" s="946" customFormat="1" x14ac:dyDescent="0.3"/>
    <row r="168" s="946" customFormat="1" x14ac:dyDescent="0.3"/>
    <row r="169" s="946" customFormat="1" x14ac:dyDescent="0.3"/>
    <row r="170" s="946" customFormat="1" x14ac:dyDescent="0.3"/>
    <row r="171" s="946" customFormat="1" x14ac:dyDescent="0.3"/>
    <row r="172" s="946" customFormat="1" x14ac:dyDescent="0.3"/>
    <row r="173" s="946" customFormat="1" x14ac:dyDescent="0.3"/>
    <row r="174" s="946" customFormat="1" x14ac:dyDescent="0.3"/>
    <row r="175" s="946" customFormat="1" x14ac:dyDescent="0.3"/>
    <row r="176" s="946" customFormat="1" x14ac:dyDescent="0.3"/>
    <row r="177" s="946" customFormat="1" x14ac:dyDescent="0.3"/>
    <row r="178" s="946" customFormat="1" x14ac:dyDescent="0.3"/>
    <row r="179" s="946" customFormat="1" x14ac:dyDescent="0.3"/>
    <row r="180" s="946" customFormat="1" x14ac:dyDescent="0.3"/>
    <row r="181" s="946" customFormat="1" x14ac:dyDescent="0.3"/>
    <row r="182" s="946" customFormat="1" x14ac:dyDescent="0.3"/>
    <row r="183" s="946" customFormat="1" x14ac:dyDescent="0.3"/>
    <row r="184" s="946" customFormat="1" x14ac:dyDescent="0.3"/>
    <row r="185" s="946" customFormat="1" x14ac:dyDescent="0.3"/>
    <row r="186" s="946" customFormat="1" x14ac:dyDescent="0.3"/>
    <row r="187" s="946" customFormat="1" x14ac:dyDescent="0.3"/>
    <row r="188" s="946" customFormat="1" x14ac:dyDescent="0.3"/>
    <row r="189" s="946" customFormat="1" x14ac:dyDescent="0.3"/>
    <row r="190" s="946" customFormat="1" x14ac:dyDescent="0.3"/>
    <row r="191" s="946" customFormat="1" x14ac:dyDescent="0.3"/>
    <row r="192" s="946" customFormat="1" x14ac:dyDescent="0.3"/>
    <row r="193" s="946" customFormat="1" x14ac:dyDescent="0.3"/>
    <row r="194" s="946" customFormat="1" x14ac:dyDescent="0.3"/>
    <row r="195" s="946" customFormat="1" x14ac:dyDescent="0.3"/>
    <row r="196" s="946" customFormat="1" x14ac:dyDescent="0.3"/>
    <row r="197" s="946" customFormat="1" x14ac:dyDescent="0.3"/>
    <row r="198" s="946" customFormat="1" x14ac:dyDescent="0.3"/>
    <row r="199" s="946" customFormat="1" x14ac:dyDescent="0.3"/>
    <row r="200" s="946" customFormat="1" x14ac:dyDescent="0.3"/>
    <row r="201" s="946" customFormat="1" x14ac:dyDescent="0.3"/>
    <row r="202" s="946" customFormat="1" x14ac:dyDescent="0.3"/>
    <row r="203" s="946" customFormat="1" x14ac:dyDescent="0.3"/>
    <row r="204" s="946" customFormat="1" x14ac:dyDescent="0.3"/>
    <row r="205" s="946" customFormat="1" x14ac:dyDescent="0.3"/>
    <row r="206" s="946" customFormat="1" x14ac:dyDescent="0.3"/>
    <row r="207" s="946" customFormat="1" x14ac:dyDescent="0.3"/>
    <row r="208" s="946" customFormat="1" x14ac:dyDescent="0.3"/>
    <row r="209" s="946" customFormat="1" x14ac:dyDescent="0.3"/>
    <row r="210" s="946" customFormat="1" x14ac:dyDescent="0.3"/>
    <row r="211" s="946" customFormat="1" x14ac:dyDescent="0.3"/>
    <row r="212" s="946" customFormat="1" x14ac:dyDescent="0.3"/>
    <row r="213" s="946" customFormat="1" x14ac:dyDescent="0.3"/>
    <row r="214" s="946" customFormat="1" x14ac:dyDescent="0.3"/>
    <row r="215" s="946" customFormat="1" x14ac:dyDescent="0.3"/>
    <row r="216" s="946" customFormat="1" x14ac:dyDescent="0.3"/>
    <row r="217" s="946" customFormat="1" x14ac:dyDescent="0.3"/>
    <row r="218" s="946" customFormat="1" x14ac:dyDescent="0.3"/>
    <row r="219" s="946" customFormat="1" x14ac:dyDescent="0.3"/>
    <row r="220" s="946" customFormat="1" x14ac:dyDescent="0.3"/>
    <row r="221" s="946" customFormat="1" x14ac:dyDescent="0.3"/>
    <row r="222" s="946" customFormat="1" x14ac:dyDescent="0.3"/>
    <row r="223" s="946" customFormat="1" x14ac:dyDescent="0.3"/>
    <row r="224" s="946" customFormat="1" x14ac:dyDescent="0.3"/>
    <row r="225" s="946" customFormat="1" x14ac:dyDescent="0.3"/>
    <row r="226" s="946" customFormat="1" x14ac:dyDescent="0.3"/>
    <row r="227" s="946" customFormat="1" x14ac:dyDescent="0.3"/>
    <row r="228" s="946" customFormat="1" x14ac:dyDescent="0.3"/>
    <row r="229" s="946" customFormat="1" x14ac:dyDescent="0.3"/>
    <row r="230" s="946" customFormat="1" x14ac:dyDescent="0.3"/>
    <row r="231" s="946" customFormat="1" x14ac:dyDescent="0.3"/>
    <row r="232" s="946" customFormat="1" x14ac:dyDescent="0.3"/>
    <row r="233" s="946" customFormat="1" x14ac:dyDescent="0.3"/>
    <row r="234" s="946" customFormat="1" x14ac:dyDescent="0.3"/>
    <row r="235" s="946" customFormat="1" x14ac:dyDescent="0.3"/>
    <row r="236" s="946" customFormat="1" x14ac:dyDescent="0.3"/>
    <row r="237" s="946" customFormat="1" x14ac:dyDescent="0.3"/>
    <row r="238" s="946" customFormat="1" x14ac:dyDescent="0.3"/>
    <row r="239" s="946" customFormat="1" x14ac:dyDescent="0.3"/>
    <row r="240" s="946" customFormat="1" x14ac:dyDescent="0.3"/>
    <row r="241" s="946" customFormat="1" x14ac:dyDescent="0.3"/>
    <row r="242" s="946" customFormat="1" x14ac:dyDescent="0.3"/>
    <row r="243" s="946" customFormat="1" x14ac:dyDescent="0.3"/>
    <row r="244" s="946" customFormat="1" x14ac:dyDescent="0.3"/>
    <row r="245" s="946" customFormat="1" x14ac:dyDescent="0.3"/>
    <row r="246" s="946" customFormat="1" x14ac:dyDescent="0.3"/>
    <row r="247" s="946" customFormat="1" x14ac:dyDescent="0.3"/>
    <row r="248" s="946" customFormat="1" x14ac:dyDescent="0.3"/>
    <row r="249" s="946" customFormat="1" x14ac:dyDescent="0.3"/>
    <row r="250" s="946" customFormat="1" x14ac:dyDescent="0.3"/>
    <row r="251" s="946" customFormat="1" x14ac:dyDescent="0.3"/>
    <row r="252" s="946" customFormat="1" x14ac:dyDescent="0.3"/>
    <row r="253" s="946" customFormat="1" x14ac:dyDescent="0.3"/>
    <row r="254" s="946" customFormat="1" x14ac:dyDescent="0.3"/>
    <row r="255" s="946" customFormat="1" x14ac:dyDescent="0.3"/>
    <row r="256" s="946" customFormat="1" x14ac:dyDescent="0.3"/>
    <row r="257" s="946" customFormat="1" x14ac:dyDescent="0.3"/>
    <row r="258" s="946" customFormat="1" x14ac:dyDescent="0.3"/>
    <row r="259" s="946" customFormat="1" x14ac:dyDescent="0.3"/>
    <row r="260" s="946" customFormat="1" x14ac:dyDescent="0.3"/>
    <row r="261" s="946" customFormat="1" x14ac:dyDescent="0.3"/>
    <row r="262" s="946" customFormat="1" x14ac:dyDescent="0.3"/>
    <row r="263" s="946" customFormat="1" x14ac:dyDescent="0.3"/>
    <row r="264" s="946" customFormat="1" x14ac:dyDescent="0.3"/>
    <row r="265" s="946" customFormat="1" x14ac:dyDescent="0.3"/>
    <row r="266" s="946" customFormat="1" x14ac:dyDescent="0.3"/>
    <row r="267" s="946" customFormat="1" x14ac:dyDescent="0.3"/>
    <row r="268" s="946" customFormat="1" x14ac:dyDescent="0.3"/>
    <row r="269" s="946" customFormat="1" x14ac:dyDescent="0.3"/>
    <row r="270" s="946" customFormat="1" x14ac:dyDescent="0.3"/>
    <row r="271" s="946" customFormat="1" x14ac:dyDescent="0.3"/>
    <row r="272" s="946" customFormat="1" x14ac:dyDescent="0.3"/>
    <row r="273" s="946" customFormat="1" x14ac:dyDescent="0.3"/>
    <row r="274" s="946" customFormat="1" x14ac:dyDescent="0.3"/>
    <row r="275" s="946" customFormat="1" x14ac:dyDescent="0.3"/>
    <row r="276" s="946" customFormat="1" x14ac:dyDescent="0.3"/>
    <row r="277" s="946" customFormat="1" x14ac:dyDescent="0.3"/>
    <row r="278" s="946" customFormat="1" x14ac:dyDescent="0.3"/>
    <row r="279" s="946" customFormat="1" x14ac:dyDescent="0.3"/>
    <row r="280" s="946" customFormat="1" x14ac:dyDescent="0.3"/>
    <row r="281" s="946" customFormat="1" x14ac:dyDescent="0.3"/>
    <row r="282" s="946" customFormat="1" x14ac:dyDescent="0.3"/>
    <row r="283" s="946" customFormat="1" x14ac:dyDescent="0.3"/>
    <row r="284" s="946" customFormat="1" x14ac:dyDescent="0.3"/>
    <row r="285" s="946" customFormat="1" x14ac:dyDescent="0.3"/>
    <row r="286" s="946" customFormat="1" x14ac:dyDescent="0.3"/>
    <row r="287" s="946" customFormat="1" x14ac:dyDescent="0.3"/>
    <row r="288" s="946" customFormat="1" x14ac:dyDescent="0.3"/>
    <row r="289" s="946" customFormat="1" x14ac:dyDescent="0.3"/>
    <row r="290" s="946" customFormat="1" x14ac:dyDescent="0.3"/>
    <row r="291" s="946" customFormat="1" x14ac:dyDescent="0.3"/>
    <row r="292" s="946" customFormat="1" x14ac:dyDescent="0.3"/>
    <row r="293" s="946" customFormat="1" x14ac:dyDescent="0.3"/>
    <row r="294" s="946" customFormat="1" x14ac:dyDescent="0.3"/>
    <row r="295" s="946" customFormat="1" x14ac:dyDescent="0.3"/>
    <row r="296" s="946" customFormat="1" x14ac:dyDescent="0.3"/>
    <row r="297" s="946" customFormat="1" x14ac:dyDescent="0.3"/>
    <row r="298" s="946" customFormat="1" x14ac:dyDescent="0.3"/>
    <row r="299" s="946" customFormat="1" x14ac:dyDescent="0.3"/>
    <row r="300" s="946" customFormat="1" x14ac:dyDescent="0.3"/>
    <row r="301" s="946" customFormat="1" x14ac:dyDescent="0.3"/>
    <row r="302" s="946" customFormat="1" x14ac:dyDescent="0.3"/>
    <row r="303" s="946" customFormat="1" x14ac:dyDescent="0.3"/>
    <row r="304" s="946" customFormat="1" x14ac:dyDescent="0.3"/>
    <row r="305" s="946" customFormat="1" x14ac:dyDescent="0.3"/>
    <row r="306" s="946" customFormat="1" x14ac:dyDescent="0.3"/>
    <row r="307" s="946" customFormat="1" x14ac:dyDescent="0.3"/>
    <row r="308" s="946" customFormat="1" x14ac:dyDescent="0.3"/>
    <row r="309" s="946" customFormat="1" x14ac:dyDescent="0.3"/>
    <row r="310" s="946" customFormat="1" x14ac:dyDescent="0.3"/>
    <row r="311" s="946" customFormat="1" x14ac:dyDescent="0.3"/>
    <row r="312" s="946" customFormat="1" x14ac:dyDescent="0.3"/>
    <row r="313" s="946" customFormat="1" x14ac:dyDescent="0.3"/>
    <row r="314" s="946" customFormat="1" x14ac:dyDescent="0.3"/>
    <row r="315" s="946" customFormat="1" x14ac:dyDescent="0.3"/>
    <row r="316" s="946" customFormat="1" x14ac:dyDescent="0.3"/>
    <row r="317" s="946" customFormat="1" x14ac:dyDescent="0.3"/>
    <row r="318" s="946" customFormat="1" x14ac:dyDescent="0.3"/>
    <row r="319" s="946" customFormat="1" x14ac:dyDescent="0.3"/>
    <row r="320" s="946" customFormat="1" x14ac:dyDescent="0.3"/>
    <row r="321" s="946" customFormat="1" x14ac:dyDescent="0.3"/>
    <row r="322" s="946" customFormat="1" x14ac:dyDescent="0.3"/>
    <row r="323" s="946" customFormat="1" x14ac:dyDescent="0.3"/>
    <row r="324" s="946" customFormat="1" x14ac:dyDescent="0.3"/>
    <row r="325" s="946" customFormat="1" x14ac:dyDescent="0.3"/>
    <row r="326" s="946" customFormat="1" x14ac:dyDescent="0.3"/>
    <row r="327" s="946" customFormat="1" x14ac:dyDescent="0.3"/>
    <row r="328" s="946" customFormat="1" x14ac:dyDescent="0.3"/>
    <row r="329" s="946" customFormat="1" x14ac:dyDescent="0.3"/>
    <row r="330" s="946" customFormat="1" x14ac:dyDescent="0.3"/>
    <row r="331" s="946" customFormat="1" x14ac:dyDescent="0.3"/>
    <row r="332" s="946" customFormat="1" x14ac:dyDescent="0.3"/>
    <row r="333" s="946" customFormat="1" x14ac:dyDescent="0.3"/>
    <row r="334" s="946" customFormat="1" x14ac:dyDescent="0.3"/>
    <row r="335" s="946" customFormat="1" x14ac:dyDescent="0.3"/>
    <row r="336" s="946" customFormat="1" x14ac:dyDescent="0.3"/>
    <row r="337" s="946" customFormat="1" x14ac:dyDescent="0.3"/>
    <row r="338" s="946" customFormat="1" x14ac:dyDescent="0.3"/>
    <row r="339" s="946" customFormat="1" x14ac:dyDescent="0.3"/>
    <row r="340" s="946" customFormat="1" x14ac:dyDescent="0.3"/>
    <row r="341" s="946" customFormat="1" x14ac:dyDescent="0.3"/>
    <row r="342" s="946" customFormat="1" x14ac:dyDescent="0.3"/>
    <row r="343" s="946" customFormat="1" x14ac:dyDescent="0.3"/>
    <row r="344" s="946" customFormat="1" x14ac:dyDescent="0.3"/>
    <row r="345" s="946" customFormat="1" x14ac:dyDescent="0.3"/>
    <row r="346" s="946" customFormat="1" x14ac:dyDescent="0.3"/>
    <row r="347" s="946" customFormat="1" x14ac:dyDescent="0.3"/>
    <row r="348" s="946" customFormat="1" x14ac:dyDescent="0.3"/>
    <row r="349" s="946" customFormat="1" x14ac:dyDescent="0.3"/>
    <row r="350" s="946" customFormat="1" x14ac:dyDescent="0.3"/>
    <row r="351" s="946" customFormat="1" x14ac:dyDescent="0.3"/>
    <row r="352" s="946" customFormat="1" x14ac:dyDescent="0.3"/>
    <row r="353" s="946" customFormat="1" x14ac:dyDescent="0.3"/>
    <row r="354" s="946" customFormat="1" x14ac:dyDescent="0.3"/>
    <row r="355" s="946" customFormat="1" x14ac:dyDescent="0.3"/>
    <row r="356" s="946" customFormat="1" x14ac:dyDescent="0.3"/>
    <row r="357" s="946" customFormat="1" x14ac:dyDescent="0.3"/>
    <row r="358" s="946" customFormat="1" x14ac:dyDescent="0.3"/>
    <row r="359" s="946" customFormat="1" x14ac:dyDescent="0.3"/>
    <row r="360" s="946" customFormat="1" x14ac:dyDescent="0.3"/>
    <row r="361" s="946" customFormat="1" x14ac:dyDescent="0.3"/>
    <row r="362" s="946" customFormat="1" x14ac:dyDescent="0.3"/>
    <row r="363" s="946" customFormat="1" x14ac:dyDescent="0.3"/>
    <row r="364" s="946" customFormat="1" x14ac:dyDescent="0.3"/>
    <row r="365" s="946" customFormat="1" x14ac:dyDescent="0.3"/>
    <row r="366" s="946" customFormat="1" x14ac:dyDescent="0.3"/>
    <row r="367" s="946" customFormat="1" x14ac:dyDescent="0.3"/>
    <row r="368" s="946" customFormat="1" x14ac:dyDescent="0.3"/>
    <row r="369" s="946" customFormat="1" x14ac:dyDescent="0.3"/>
    <row r="370" s="946" customFormat="1" x14ac:dyDescent="0.3"/>
    <row r="371" s="946" customFormat="1" x14ac:dyDescent="0.3"/>
    <row r="372" s="946" customFormat="1" x14ac:dyDescent="0.3"/>
    <row r="373" s="946" customFormat="1" x14ac:dyDescent="0.3"/>
    <row r="374" s="946" customFormat="1" x14ac:dyDescent="0.3"/>
    <row r="375" s="946" customFormat="1" x14ac:dyDescent="0.3"/>
    <row r="376" s="946" customFormat="1" x14ac:dyDescent="0.3"/>
    <row r="377" s="946" customFormat="1" x14ac:dyDescent="0.3"/>
    <row r="378" s="946" customFormat="1" x14ac:dyDescent="0.3"/>
    <row r="379" s="946" customFormat="1" x14ac:dyDescent="0.3"/>
    <row r="380" s="946" customFormat="1" x14ac:dyDescent="0.3"/>
    <row r="381" s="946" customFormat="1" x14ac:dyDescent="0.3"/>
    <row r="382" s="946" customFormat="1" x14ac:dyDescent="0.3"/>
    <row r="383" s="946" customFormat="1" x14ac:dyDescent="0.3"/>
    <row r="384" s="946" customFormat="1" x14ac:dyDescent="0.3"/>
    <row r="385" s="946" customFormat="1" x14ac:dyDescent="0.3"/>
    <row r="386" s="946" customFormat="1" x14ac:dyDescent="0.3"/>
    <row r="387" s="946" customFormat="1" x14ac:dyDescent="0.3"/>
    <row r="388" s="946" customFormat="1" x14ac:dyDescent="0.3"/>
    <row r="389" s="946" customFormat="1" x14ac:dyDescent="0.3"/>
    <row r="390" s="946" customFormat="1" x14ac:dyDescent="0.3"/>
    <row r="391" s="946" customFormat="1" x14ac:dyDescent="0.3"/>
    <row r="392" s="946" customFormat="1" x14ac:dyDescent="0.3"/>
    <row r="393" s="946" customFormat="1" x14ac:dyDescent="0.3"/>
    <row r="394" s="946" customFormat="1" x14ac:dyDescent="0.3"/>
    <row r="395" s="946" customFormat="1" x14ac:dyDescent="0.3"/>
    <row r="396" s="946" customFormat="1" x14ac:dyDescent="0.3"/>
    <row r="397" s="946" customFormat="1" x14ac:dyDescent="0.3"/>
    <row r="398" s="946" customFormat="1" x14ac:dyDescent="0.3"/>
    <row r="399" s="946" customFormat="1" x14ac:dyDescent="0.3"/>
    <row r="400" s="946" customFormat="1" x14ac:dyDescent="0.3"/>
    <row r="401" s="946" customFormat="1" x14ac:dyDescent="0.3"/>
    <row r="402" s="946" customFormat="1" x14ac:dyDescent="0.3"/>
    <row r="403" s="946" customFormat="1" x14ac:dyDescent="0.3"/>
    <row r="404" s="946" customFormat="1" x14ac:dyDescent="0.3"/>
    <row r="405" s="946" customFormat="1" x14ac:dyDescent="0.3"/>
    <row r="406" s="946" customFormat="1" x14ac:dyDescent="0.3"/>
    <row r="407" s="946" customFormat="1" x14ac:dyDescent="0.3"/>
    <row r="408" s="946" customFormat="1" x14ac:dyDescent="0.3"/>
    <row r="409" s="946" customFormat="1" x14ac:dyDescent="0.3"/>
    <row r="410" s="946" customFormat="1" x14ac:dyDescent="0.3"/>
    <row r="411" s="946" customFormat="1" x14ac:dyDescent="0.3"/>
    <row r="412" s="946" customFormat="1" x14ac:dyDescent="0.3"/>
    <row r="413" s="946" customFormat="1" x14ac:dyDescent="0.3"/>
    <row r="414" s="946" customFormat="1" x14ac:dyDescent="0.3"/>
    <row r="415" s="946" customFormat="1" x14ac:dyDescent="0.3"/>
    <row r="416" s="946" customFormat="1" x14ac:dyDescent="0.3"/>
    <row r="417" s="946" customFormat="1" x14ac:dyDescent="0.3"/>
    <row r="418" s="946" customFormat="1" x14ac:dyDescent="0.3"/>
    <row r="419" s="946" customFormat="1" x14ac:dyDescent="0.3"/>
    <row r="420" s="946" customFormat="1" x14ac:dyDescent="0.3"/>
    <row r="421" s="946" customFormat="1" x14ac:dyDescent="0.3"/>
    <row r="422" s="946" customFormat="1" x14ac:dyDescent="0.3"/>
    <row r="423" s="946" customFormat="1" x14ac:dyDescent="0.3"/>
    <row r="424" s="946" customFormat="1" x14ac:dyDescent="0.3"/>
    <row r="425" s="946" customFormat="1" x14ac:dyDescent="0.3"/>
    <row r="426" s="946" customFormat="1" x14ac:dyDescent="0.3"/>
    <row r="427" s="946" customFormat="1" x14ac:dyDescent="0.3"/>
    <row r="428" s="946" customFormat="1" x14ac:dyDescent="0.3"/>
    <row r="429" s="946" customFormat="1" x14ac:dyDescent="0.3"/>
    <row r="430" s="946" customFormat="1" x14ac:dyDescent="0.3"/>
    <row r="431" s="946" customFormat="1" x14ac:dyDescent="0.3"/>
    <row r="432" s="946" customFormat="1" x14ac:dyDescent="0.3"/>
    <row r="433" s="946" customFormat="1" x14ac:dyDescent="0.3"/>
    <row r="434" s="946" customFormat="1" x14ac:dyDescent="0.3"/>
    <row r="435" s="946" customFormat="1" x14ac:dyDescent="0.3"/>
    <row r="436" s="946" customFormat="1" x14ac:dyDescent="0.3"/>
    <row r="437" s="946" customFormat="1" x14ac:dyDescent="0.3"/>
    <row r="438" s="946" customFormat="1" x14ac:dyDescent="0.3"/>
    <row r="439" s="946" customFormat="1" x14ac:dyDescent="0.3"/>
    <row r="440" s="946" customFormat="1" x14ac:dyDescent="0.3"/>
    <row r="441" s="946" customFormat="1" x14ac:dyDescent="0.3"/>
    <row r="442" s="946" customFormat="1" x14ac:dyDescent="0.3"/>
    <row r="443" s="946" customFormat="1" x14ac:dyDescent="0.3"/>
    <row r="444" s="946" customFormat="1" x14ac:dyDescent="0.3"/>
    <row r="445" s="946" customFormat="1" x14ac:dyDescent="0.3"/>
    <row r="446" s="946" customFormat="1" x14ac:dyDescent="0.3"/>
    <row r="447" s="946" customFormat="1" x14ac:dyDescent="0.3"/>
    <row r="448" s="946" customFormat="1" x14ac:dyDescent="0.3"/>
    <row r="449" s="946" customFormat="1" x14ac:dyDescent="0.3"/>
    <row r="450" s="946" customFormat="1" x14ac:dyDescent="0.3"/>
    <row r="451" s="946" customFormat="1" x14ac:dyDescent="0.3"/>
    <row r="452" s="946" customFormat="1" x14ac:dyDescent="0.3"/>
    <row r="453" s="946" customFormat="1" x14ac:dyDescent="0.3"/>
    <row r="454" s="946" customFormat="1" x14ac:dyDescent="0.3"/>
    <row r="455" s="946" customFormat="1" x14ac:dyDescent="0.3"/>
    <row r="456" s="946" customFormat="1" x14ac:dyDescent="0.3"/>
    <row r="457" s="946" customFormat="1" x14ac:dyDescent="0.3"/>
    <row r="458" s="946" customFormat="1" x14ac:dyDescent="0.3"/>
    <row r="459" s="946" customFormat="1" x14ac:dyDescent="0.3"/>
    <row r="460" s="946" customFormat="1" x14ac:dyDescent="0.3"/>
    <row r="461" s="946" customFormat="1" x14ac:dyDescent="0.3"/>
    <row r="462" s="946" customFormat="1" x14ac:dyDescent="0.3"/>
    <row r="463" s="946" customFormat="1" x14ac:dyDescent="0.3"/>
    <row r="464" s="946" customFormat="1" x14ac:dyDescent="0.3"/>
    <row r="465" s="946" customFormat="1" x14ac:dyDescent="0.3"/>
    <row r="466" s="946" customFormat="1" x14ac:dyDescent="0.3"/>
    <row r="467" s="946" customFormat="1" x14ac:dyDescent="0.3"/>
    <row r="468" s="946" customFormat="1" x14ac:dyDescent="0.3"/>
    <row r="469" s="946" customFormat="1" x14ac:dyDescent="0.3"/>
    <row r="470" s="946" customFormat="1" x14ac:dyDescent="0.3"/>
    <row r="471" s="946" customFormat="1" x14ac:dyDescent="0.3"/>
    <row r="472" s="946" customFormat="1" x14ac:dyDescent="0.3"/>
    <row r="473" s="946" customFormat="1" x14ac:dyDescent="0.3"/>
    <row r="474" s="946" customFormat="1" x14ac:dyDescent="0.3"/>
    <row r="475" s="946" customFormat="1" x14ac:dyDescent="0.3"/>
    <row r="476" s="946" customFormat="1" x14ac:dyDescent="0.3"/>
    <row r="477" s="946" customFormat="1" x14ac:dyDescent="0.3"/>
    <row r="478" s="946" customFormat="1" x14ac:dyDescent="0.3"/>
    <row r="479" s="946" customFormat="1" x14ac:dyDescent="0.3"/>
    <row r="480" s="946" customFormat="1" x14ac:dyDescent="0.3"/>
    <row r="481" s="946" customFormat="1" x14ac:dyDescent="0.3"/>
    <row r="482" s="946" customFormat="1" x14ac:dyDescent="0.3"/>
    <row r="483" s="946" customFormat="1" x14ac:dyDescent="0.3"/>
    <row r="484" s="946" customFormat="1" x14ac:dyDescent="0.3"/>
    <row r="485" s="946" customFormat="1" x14ac:dyDescent="0.3"/>
    <row r="486" s="946" customFormat="1" x14ac:dyDescent="0.3"/>
    <row r="487" s="946" customFormat="1" x14ac:dyDescent="0.3"/>
    <row r="488" s="946" customFormat="1" x14ac:dyDescent="0.3"/>
    <row r="489" s="946" customFormat="1" x14ac:dyDescent="0.3"/>
    <row r="490" s="946" customFormat="1" x14ac:dyDescent="0.3"/>
    <row r="491" s="946" customFormat="1" x14ac:dyDescent="0.3"/>
    <row r="492" s="946" customFormat="1" x14ac:dyDescent="0.3"/>
    <row r="493" s="946" customFormat="1" x14ac:dyDescent="0.3"/>
    <row r="494" s="946" customFormat="1" x14ac:dyDescent="0.3"/>
    <row r="495" s="946" customFormat="1" x14ac:dyDescent="0.3"/>
    <row r="496" s="946" customFormat="1" x14ac:dyDescent="0.3"/>
    <row r="497" s="946" customFormat="1" x14ac:dyDescent="0.3"/>
    <row r="498" s="946" customFormat="1" x14ac:dyDescent="0.3"/>
    <row r="499" s="946" customFormat="1" x14ac:dyDescent="0.3"/>
    <row r="500" s="946" customFormat="1" x14ac:dyDescent="0.3"/>
    <row r="501" s="946" customFormat="1" x14ac:dyDescent="0.3"/>
    <row r="502" s="946" customFormat="1" x14ac:dyDescent="0.3"/>
    <row r="503" s="946" customFormat="1" x14ac:dyDescent="0.3"/>
    <row r="504" s="946" customFormat="1" x14ac:dyDescent="0.3"/>
    <row r="505" s="946" customFormat="1" x14ac:dyDescent="0.3"/>
    <row r="506" s="946" customFormat="1" x14ac:dyDescent="0.3"/>
    <row r="507" s="946" customFormat="1" x14ac:dyDescent="0.3"/>
    <row r="508" s="946" customFormat="1" x14ac:dyDescent="0.3"/>
    <row r="509" s="946" customFormat="1" x14ac:dyDescent="0.3"/>
    <row r="510" s="946" customFormat="1" x14ac:dyDescent="0.3"/>
    <row r="511" s="946" customFormat="1" x14ac:dyDescent="0.3"/>
    <row r="512" s="946" customFormat="1" x14ac:dyDescent="0.3"/>
    <row r="513" s="946" customFormat="1" x14ac:dyDescent="0.3"/>
    <row r="514" s="946" customFormat="1" x14ac:dyDescent="0.3"/>
    <row r="515" s="946" customFormat="1" x14ac:dyDescent="0.3"/>
    <row r="516" s="946" customFormat="1" x14ac:dyDescent="0.3"/>
    <row r="517" s="946" customFormat="1" x14ac:dyDescent="0.3"/>
    <row r="518" s="946" customFormat="1" x14ac:dyDescent="0.3"/>
    <row r="519" s="946" customFormat="1" x14ac:dyDescent="0.3"/>
    <row r="520" s="946" customFormat="1" x14ac:dyDescent="0.3"/>
    <row r="521" s="946" customFormat="1" x14ac:dyDescent="0.3"/>
    <row r="522" s="946" customFormat="1" x14ac:dyDescent="0.3"/>
    <row r="523" s="946" customFormat="1" x14ac:dyDescent="0.3"/>
    <row r="524" s="946" customFormat="1" x14ac:dyDescent="0.3"/>
    <row r="525" s="946" customFormat="1" x14ac:dyDescent="0.3"/>
    <row r="526" s="946" customFormat="1" x14ac:dyDescent="0.3"/>
    <row r="527" s="946" customFormat="1" x14ac:dyDescent="0.3"/>
    <row r="528" s="946" customFormat="1" x14ac:dyDescent="0.3"/>
    <row r="529" s="946" customFormat="1" x14ac:dyDescent="0.3"/>
    <row r="530" s="946" customFormat="1" x14ac:dyDescent="0.3"/>
    <row r="531" s="946" customFormat="1" x14ac:dyDescent="0.3"/>
    <row r="532" s="946" customFormat="1" x14ac:dyDescent="0.3"/>
    <row r="533" s="946" customFormat="1" x14ac:dyDescent="0.3"/>
    <row r="534" s="946" customFormat="1" x14ac:dyDescent="0.3"/>
    <row r="535" s="946" customFormat="1" x14ac:dyDescent="0.3"/>
    <row r="536" s="946" customFormat="1" x14ac:dyDescent="0.3"/>
    <row r="537" s="946" customFormat="1" x14ac:dyDescent="0.3"/>
    <row r="538" s="946" customFormat="1" x14ac:dyDescent="0.3"/>
    <row r="539" s="946" customFormat="1" x14ac:dyDescent="0.3"/>
    <row r="540" s="946" customFormat="1" x14ac:dyDescent="0.3"/>
    <row r="541" s="946" customFormat="1" x14ac:dyDescent="0.3"/>
    <row r="542" s="946" customFormat="1" x14ac:dyDescent="0.3"/>
    <row r="543" s="946" customFormat="1" x14ac:dyDescent="0.3"/>
    <row r="544" s="946" customFormat="1" x14ac:dyDescent="0.3"/>
    <row r="545" s="946" customFormat="1" x14ac:dyDescent="0.3"/>
    <row r="546" s="946" customFormat="1" x14ac:dyDescent="0.3"/>
    <row r="547" s="946" customFormat="1" x14ac:dyDescent="0.3"/>
    <row r="548" s="946" customFormat="1" x14ac:dyDescent="0.3"/>
    <row r="549" s="946" customFormat="1" x14ac:dyDescent="0.3"/>
    <row r="550" s="946" customFormat="1" x14ac:dyDescent="0.3"/>
    <row r="551" s="946" customFormat="1" x14ac:dyDescent="0.3"/>
    <row r="552" s="946" customFormat="1" x14ac:dyDescent="0.3"/>
    <row r="553" s="946" customFormat="1" x14ac:dyDescent="0.3"/>
    <row r="554" s="946" customFormat="1" x14ac:dyDescent="0.3"/>
    <row r="555" s="946" customFormat="1" x14ac:dyDescent="0.3"/>
    <row r="556" s="946" customFormat="1" x14ac:dyDescent="0.3"/>
    <row r="557" s="946" customFormat="1" x14ac:dyDescent="0.3"/>
    <row r="558" s="946" customFormat="1" x14ac:dyDescent="0.3"/>
    <row r="559" s="946" customFormat="1" x14ac:dyDescent="0.3"/>
    <row r="560" s="946" customFormat="1" x14ac:dyDescent="0.3"/>
    <row r="561" s="946" customFormat="1" x14ac:dyDescent="0.3"/>
    <row r="562" s="946" customFormat="1" x14ac:dyDescent="0.3"/>
    <row r="563" s="946" customFormat="1" x14ac:dyDescent="0.3"/>
    <row r="564" s="946" customFormat="1" x14ac:dyDescent="0.3"/>
    <row r="565" s="946" customFormat="1" x14ac:dyDescent="0.3"/>
    <row r="566" s="946" customFormat="1" x14ac:dyDescent="0.3"/>
    <row r="567" s="946" customFormat="1" x14ac:dyDescent="0.3"/>
    <row r="568" s="946" customFormat="1" x14ac:dyDescent="0.3"/>
    <row r="569" s="946" customFormat="1" x14ac:dyDescent="0.3"/>
    <row r="570" s="946" customFormat="1" x14ac:dyDescent="0.3"/>
    <row r="571" s="946" customFormat="1" x14ac:dyDescent="0.3"/>
    <row r="572" s="946" customFormat="1" x14ac:dyDescent="0.3"/>
    <row r="573" s="946" customFormat="1" x14ac:dyDescent="0.3"/>
    <row r="574" s="946" customFormat="1" x14ac:dyDescent="0.3"/>
    <row r="575" s="946" customFormat="1" x14ac:dyDescent="0.3"/>
    <row r="576" s="946" customFormat="1" x14ac:dyDescent="0.3"/>
    <row r="577" s="946" customFormat="1" x14ac:dyDescent="0.3"/>
    <row r="578" s="946" customFormat="1" x14ac:dyDescent="0.3"/>
    <row r="579" s="946" customFormat="1" x14ac:dyDescent="0.3"/>
    <row r="580" s="946" customFormat="1" x14ac:dyDescent="0.3"/>
    <row r="581" s="946" customFormat="1" x14ac:dyDescent="0.3"/>
    <row r="582" s="946" customFormat="1" x14ac:dyDescent="0.3"/>
    <row r="583" s="946" customFormat="1" x14ac:dyDescent="0.3"/>
    <row r="584" s="946" customFormat="1" x14ac:dyDescent="0.3"/>
    <row r="585" s="946" customFormat="1" x14ac:dyDescent="0.3"/>
    <row r="586" s="946" customFormat="1" x14ac:dyDescent="0.3"/>
    <row r="587" s="946" customFormat="1" x14ac:dyDescent="0.3"/>
    <row r="588" s="946" customFormat="1" x14ac:dyDescent="0.3"/>
    <row r="589" s="946" customFormat="1" x14ac:dyDescent="0.3"/>
    <row r="590" s="946" customFormat="1" x14ac:dyDescent="0.3"/>
    <row r="591" s="946" customFormat="1" x14ac:dyDescent="0.3"/>
    <row r="592" s="946" customFormat="1" x14ac:dyDescent="0.3"/>
    <row r="593" s="946" customFormat="1" x14ac:dyDescent="0.3"/>
    <row r="594" s="946" customFormat="1" x14ac:dyDescent="0.3"/>
    <row r="595" s="946" customFormat="1" x14ac:dyDescent="0.3"/>
    <row r="596" s="946" customFormat="1" x14ac:dyDescent="0.3"/>
    <row r="597" s="946" customFormat="1" x14ac:dyDescent="0.3"/>
    <row r="598" s="946" customFormat="1" x14ac:dyDescent="0.3"/>
    <row r="599" s="946" customFormat="1" x14ac:dyDescent="0.3"/>
    <row r="600" s="946" customFormat="1" x14ac:dyDescent="0.3"/>
    <row r="601" s="946" customFormat="1" x14ac:dyDescent="0.3"/>
    <row r="602" s="946" customFormat="1" x14ac:dyDescent="0.3"/>
    <row r="603" s="946" customFormat="1" x14ac:dyDescent="0.3"/>
    <row r="604" s="946" customFormat="1" x14ac:dyDescent="0.3"/>
    <row r="605" s="946" customFormat="1" x14ac:dyDescent="0.3"/>
    <row r="606" s="946" customFormat="1" x14ac:dyDescent="0.3"/>
    <row r="607" s="946" customFormat="1" x14ac:dyDescent="0.3"/>
    <row r="608" s="946" customFormat="1" x14ac:dyDescent="0.3"/>
    <row r="609" s="946" customFormat="1" x14ac:dyDescent="0.3"/>
    <row r="610" s="946" customFormat="1" x14ac:dyDescent="0.3"/>
    <row r="611" s="946" customFormat="1" x14ac:dyDescent="0.3"/>
    <row r="612" s="946" customFormat="1" x14ac:dyDescent="0.3"/>
    <row r="613" s="946" customFormat="1" x14ac:dyDescent="0.3"/>
    <row r="614" s="946" customFormat="1" x14ac:dyDescent="0.3"/>
    <row r="615" s="946" customFormat="1" x14ac:dyDescent="0.3"/>
    <row r="616" s="946" customFormat="1" x14ac:dyDescent="0.3"/>
    <row r="617" s="946" customFormat="1" x14ac:dyDescent="0.3"/>
    <row r="618" s="946" customFormat="1" x14ac:dyDescent="0.3"/>
    <row r="619" s="946" customFormat="1" x14ac:dyDescent="0.3"/>
    <row r="620" s="946" customFormat="1" x14ac:dyDescent="0.3"/>
    <row r="621" s="946" customFormat="1" x14ac:dyDescent="0.3"/>
    <row r="622" s="946" customFormat="1" x14ac:dyDescent="0.3"/>
    <row r="623" s="946" customFormat="1" x14ac:dyDescent="0.3"/>
    <row r="624" s="946" customFormat="1" x14ac:dyDescent="0.3"/>
    <row r="625" s="946" customFormat="1" x14ac:dyDescent="0.3"/>
    <row r="626" s="946" customFormat="1" x14ac:dyDescent="0.3"/>
    <row r="627" s="946" customFormat="1" x14ac:dyDescent="0.3"/>
    <row r="628" s="946" customFormat="1" x14ac:dyDescent="0.3"/>
    <row r="629" s="946" customFormat="1" x14ac:dyDescent="0.3"/>
    <row r="630" s="946" customFormat="1" x14ac:dyDescent="0.3"/>
    <row r="631" s="946" customFormat="1" x14ac:dyDescent="0.3"/>
    <row r="632" s="946" customFormat="1" x14ac:dyDescent="0.3"/>
    <row r="633" s="946" customFormat="1" x14ac:dyDescent="0.3"/>
    <row r="634" s="946" customFormat="1" x14ac:dyDescent="0.3"/>
    <row r="635" s="946" customFormat="1" x14ac:dyDescent="0.3"/>
    <row r="636" s="946" customFormat="1" x14ac:dyDescent="0.3"/>
    <row r="637" s="946" customFormat="1" x14ac:dyDescent="0.3"/>
    <row r="638" s="946" customFormat="1" x14ac:dyDescent="0.3"/>
    <row r="639" s="946" customFormat="1" x14ac:dyDescent="0.3"/>
    <row r="640" s="946" customFormat="1" x14ac:dyDescent="0.3"/>
    <row r="641" s="946" customFormat="1" x14ac:dyDescent="0.3"/>
    <row r="642" s="946" customFormat="1" x14ac:dyDescent="0.3"/>
    <row r="643" s="946" customFormat="1" x14ac:dyDescent="0.3"/>
    <row r="644" s="946" customFormat="1" x14ac:dyDescent="0.3"/>
    <row r="645" s="946" customFormat="1" x14ac:dyDescent="0.3"/>
    <row r="646" s="946" customFormat="1" x14ac:dyDescent="0.3"/>
    <row r="647" s="946" customFormat="1" x14ac:dyDescent="0.3"/>
    <row r="648" s="946" customFormat="1" x14ac:dyDescent="0.3"/>
    <row r="649" s="946" customFormat="1" x14ac:dyDescent="0.3"/>
    <row r="650" s="946" customFormat="1" x14ac:dyDescent="0.3"/>
    <row r="651" s="946" customFormat="1" x14ac:dyDescent="0.3"/>
    <row r="652" s="946" customFormat="1" x14ac:dyDescent="0.3"/>
    <row r="653" s="946" customFormat="1" x14ac:dyDescent="0.3"/>
    <row r="654" s="946" customFormat="1" x14ac:dyDescent="0.3"/>
    <row r="655" s="946" customFormat="1" x14ac:dyDescent="0.3"/>
    <row r="656" s="946" customFormat="1" x14ac:dyDescent="0.3"/>
    <row r="657" s="946" customFormat="1" x14ac:dyDescent="0.3"/>
    <row r="658" s="946" customFormat="1" x14ac:dyDescent="0.3"/>
    <row r="659" s="946" customFormat="1" x14ac:dyDescent="0.3"/>
    <row r="660" s="946" customFormat="1" x14ac:dyDescent="0.3"/>
    <row r="661" s="946" customFormat="1" x14ac:dyDescent="0.3"/>
    <row r="662" s="946" customFormat="1" x14ac:dyDescent="0.3"/>
    <row r="663" s="946" customFormat="1" x14ac:dyDescent="0.3"/>
    <row r="664" s="946" customFormat="1" x14ac:dyDescent="0.3"/>
    <row r="665" s="946" customFormat="1" x14ac:dyDescent="0.3"/>
    <row r="666" s="946" customFormat="1" x14ac:dyDescent="0.3"/>
    <row r="667" s="946" customFormat="1" x14ac:dyDescent="0.3"/>
    <row r="668" s="946" customFormat="1" x14ac:dyDescent="0.3"/>
    <row r="669" s="946" customFormat="1" x14ac:dyDescent="0.3"/>
    <row r="670" s="946" customFormat="1" x14ac:dyDescent="0.3"/>
    <row r="671" s="946" customFormat="1" x14ac:dyDescent="0.3"/>
    <row r="672" s="946" customFormat="1" x14ac:dyDescent="0.3"/>
    <row r="673" s="946" customFormat="1" x14ac:dyDescent="0.3"/>
    <row r="674" s="946" customFormat="1" x14ac:dyDescent="0.3"/>
    <row r="675" s="946" customFormat="1" x14ac:dyDescent="0.3"/>
    <row r="676" s="946" customFormat="1" x14ac:dyDescent="0.3"/>
    <row r="677" s="946" customFormat="1" x14ac:dyDescent="0.3"/>
    <row r="678" s="946" customFormat="1" x14ac:dyDescent="0.3"/>
    <row r="679" s="946" customFormat="1" x14ac:dyDescent="0.3"/>
    <row r="680" s="946" customFormat="1" x14ac:dyDescent="0.3"/>
    <row r="681" s="946" customFormat="1" x14ac:dyDescent="0.3"/>
    <row r="682" s="946" customFormat="1" x14ac:dyDescent="0.3"/>
    <row r="683" s="946" customFormat="1" x14ac:dyDescent="0.3"/>
    <row r="684" s="946" customFormat="1" x14ac:dyDescent="0.3"/>
    <row r="685" s="946" customFormat="1" x14ac:dyDescent="0.3"/>
    <row r="686" s="946" customFormat="1" x14ac:dyDescent="0.3"/>
    <row r="687" s="946" customFormat="1" x14ac:dyDescent="0.3"/>
    <row r="688" s="946" customFormat="1" x14ac:dyDescent="0.3"/>
    <row r="689" s="946" customFormat="1" x14ac:dyDescent="0.3"/>
    <row r="690" s="946" customFormat="1" x14ac:dyDescent="0.3"/>
    <row r="691" s="946" customFormat="1" x14ac:dyDescent="0.3"/>
    <row r="692" s="946" customFormat="1" x14ac:dyDescent="0.3"/>
    <row r="693" s="946" customFormat="1" x14ac:dyDescent="0.3"/>
    <row r="694" s="946" customFormat="1" x14ac:dyDescent="0.3"/>
    <row r="695" s="946" customFormat="1" x14ac:dyDescent="0.3"/>
    <row r="696" s="946" customFormat="1" x14ac:dyDescent="0.3"/>
    <row r="697" s="946" customFormat="1" x14ac:dyDescent="0.3"/>
    <row r="698" s="946" customFormat="1" x14ac:dyDescent="0.3"/>
    <row r="699" s="946" customFormat="1" x14ac:dyDescent="0.3"/>
    <row r="700" s="946" customFormat="1" x14ac:dyDescent="0.3"/>
    <row r="701" s="946" customFormat="1" x14ac:dyDescent="0.3"/>
    <row r="702" s="946" customFormat="1" x14ac:dyDescent="0.3"/>
    <row r="703" s="946" customFormat="1" x14ac:dyDescent="0.3"/>
    <row r="704" s="946" customFormat="1" x14ac:dyDescent="0.3"/>
    <row r="705" s="946" customFormat="1" x14ac:dyDescent="0.3"/>
    <row r="706" s="946" customFormat="1" x14ac:dyDescent="0.3"/>
    <row r="707" s="946" customFormat="1" x14ac:dyDescent="0.3"/>
    <row r="708" s="946" customFormat="1" x14ac:dyDescent="0.3"/>
    <row r="709" s="946" customFormat="1" x14ac:dyDescent="0.3"/>
    <row r="710" s="946" customFormat="1" x14ac:dyDescent="0.3"/>
    <row r="711" s="946" customFormat="1" x14ac:dyDescent="0.3"/>
    <row r="712" s="946" customFormat="1" x14ac:dyDescent="0.3"/>
    <row r="713" s="946" customFormat="1" x14ac:dyDescent="0.3"/>
    <row r="714" s="946" customFormat="1" x14ac:dyDescent="0.3"/>
    <row r="715" s="946" customFormat="1" x14ac:dyDescent="0.3"/>
    <row r="716" s="946" customFormat="1" x14ac:dyDescent="0.3"/>
    <row r="717" s="946" customFormat="1" x14ac:dyDescent="0.3"/>
    <row r="718" s="946" customFormat="1" x14ac:dyDescent="0.3"/>
    <row r="719" s="946" customFormat="1" x14ac:dyDescent="0.3"/>
    <row r="720" s="946" customFormat="1" x14ac:dyDescent="0.3"/>
    <row r="721" s="946" customFormat="1" x14ac:dyDescent="0.3"/>
    <row r="722" s="946" customFormat="1" x14ac:dyDescent="0.3"/>
    <row r="723" s="946" customFormat="1" x14ac:dyDescent="0.3"/>
    <row r="724" s="946" customFormat="1" x14ac:dyDescent="0.3"/>
    <row r="725" s="946" customFormat="1" x14ac:dyDescent="0.3"/>
    <row r="726" s="946" customFormat="1" x14ac:dyDescent="0.3"/>
    <row r="727" s="946" customFormat="1" x14ac:dyDescent="0.3"/>
    <row r="728" s="946" customFormat="1" x14ac:dyDescent="0.3"/>
    <row r="729" s="946" customFormat="1" x14ac:dyDescent="0.3"/>
    <row r="730" s="946" customFormat="1" x14ac:dyDescent="0.3"/>
    <row r="731" s="946" customFormat="1" x14ac:dyDescent="0.3"/>
    <row r="732" s="946" customFormat="1" x14ac:dyDescent="0.3"/>
    <row r="733" s="946" customFormat="1" x14ac:dyDescent="0.3"/>
    <row r="734" s="946" customFormat="1" x14ac:dyDescent="0.3"/>
    <row r="735" s="946" customFormat="1" x14ac:dyDescent="0.3"/>
    <row r="736" s="946" customFormat="1" x14ac:dyDescent="0.3"/>
    <row r="737" s="946" customFormat="1" x14ac:dyDescent="0.3"/>
    <row r="738" s="946" customFormat="1" x14ac:dyDescent="0.3"/>
    <row r="739" s="946" customFormat="1" x14ac:dyDescent="0.3"/>
    <row r="740" s="946" customFormat="1" x14ac:dyDescent="0.3"/>
    <row r="741" s="946" customFormat="1" x14ac:dyDescent="0.3"/>
    <row r="742" s="946" customFormat="1" x14ac:dyDescent="0.3"/>
    <row r="743" s="946" customFormat="1" x14ac:dyDescent="0.3"/>
    <row r="744" s="946" customFormat="1" x14ac:dyDescent="0.3"/>
    <row r="745" s="946" customFormat="1" x14ac:dyDescent="0.3"/>
    <row r="746" s="946" customFormat="1" x14ac:dyDescent="0.3"/>
    <row r="747" s="946" customFormat="1" x14ac:dyDescent="0.3"/>
    <row r="748" s="946" customFormat="1" x14ac:dyDescent="0.3"/>
    <row r="749" s="946" customFormat="1" x14ac:dyDescent="0.3"/>
    <row r="750" s="946" customFormat="1" x14ac:dyDescent="0.3"/>
    <row r="751" s="946" customFormat="1" x14ac:dyDescent="0.3"/>
    <row r="752" s="946" customFormat="1" x14ac:dyDescent="0.3"/>
    <row r="753" s="946" customFormat="1" x14ac:dyDescent="0.3"/>
    <row r="754" s="946" customFormat="1" x14ac:dyDescent="0.3"/>
    <row r="755" s="946" customFormat="1" x14ac:dyDescent="0.3"/>
    <row r="756" s="946" customFormat="1" x14ac:dyDescent="0.3"/>
    <row r="757" s="946" customFormat="1" x14ac:dyDescent="0.3"/>
    <row r="758" s="946" customFormat="1" x14ac:dyDescent="0.3"/>
    <row r="759" s="946" customFormat="1" x14ac:dyDescent="0.3"/>
    <row r="760" s="946" customFormat="1" x14ac:dyDescent="0.3"/>
    <row r="761" s="946" customFormat="1" x14ac:dyDescent="0.3"/>
    <row r="762" s="946" customFormat="1" x14ac:dyDescent="0.3"/>
    <row r="763" s="946" customFormat="1" x14ac:dyDescent="0.3"/>
    <row r="764" s="946" customFormat="1" x14ac:dyDescent="0.3"/>
    <row r="765" s="946" customFormat="1" x14ac:dyDescent="0.3"/>
    <row r="766" s="946" customFormat="1" x14ac:dyDescent="0.3"/>
    <row r="767" s="946" customFormat="1" x14ac:dyDescent="0.3"/>
    <row r="768" s="946" customFormat="1" x14ac:dyDescent="0.3"/>
    <row r="769" s="946" customFormat="1" x14ac:dyDescent="0.3"/>
    <row r="770" s="946" customFormat="1" x14ac:dyDescent="0.3"/>
    <row r="771" s="946" customFormat="1" x14ac:dyDescent="0.3"/>
    <row r="772" s="946" customFormat="1" x14ac:dyDescent="0.3"/>
    <row r="773" s="946" customFormat="1" x14ac:dyDescent="0.3"/>
    <row r="774" s="946" customFormat="1" x14ac:dyDescent="0.3"/>
    <row r="775" s="946" customFormat="1" x14ac:dyDescent="0.3"/>
    <row r="776" s="946" customFormat="1" x14ac:dyDescent="0.3"/>
    <row r="777" s="946" customFormat="1" x14ac:dyDescent="0.3"/>
    <row r="778" s="946" customFormat="1" x14ac:dyDescent="0.3"/>
    <row r="779" s="946" customFormat="1" x14ac:dyDescent="0.3"/>
    <row r="780" s="946" customFormat="1" x14ac:dyDescent="0.3"/>
    <row r="781" s="946" customFormat="1" x14ac:dyDescent="0.3"/>
    <row r="782" s="946" customFormat="1" x14ac:dyDescent="0.3"/>
    <row r="783" s="946" customFormat="1" x14ac:dyDescent="0.3"/>
    <row r="784" s="946" customFormat="1" x14ac:dyDescent="0.3"/>
    <row r="785" s="946" customFormat="1" x14ac:dyDescent="0.3"/>
    <row r="786" s="946" customFormat="1" x14ac:dyDescent="0.3"/>
    <row r="787" s="946" customFormat="1" x14ac:dyDescent="0.3"/>
    <row r="788" s="946" customFormat="1" x14ac:dyDescent="0.3"/>
    <row r="789" s="946" customFormat="1" x14ac:dyDescent="0.3"/>
    <row r="790" s="946" customFormat="1" x14ac:dyDescent="0.3"/>
    <row r="791" s="946" customFormat="1" x14ac:dyDescent="0.3"/>
    <row r="792" s="946" customFormat="1" x14ac:dyDescent="0.3"/>
    <row r="793" s="946" customFormat="1" x14ac:dyDescent="0.3"/>
    <row r="794" s="946" customFormat="1" x14ac:dyDescent="0.3"/>
    <row r="795" s="946" customFormat="1" x14ac:dyDescent="0.3"/>
    <row r="796" s="946" customFormat="1" x14ac:dyDescent="0.3"/>
    <row r="797" s="946" customFormat="1" x14ac:dyDescent="0.3"/>
    <row r="798" s="946" customFormat="1" x14ac:dyDescent="0.3"/>
    <row r="799" s="946" customFormat="1" x14ac:dyDescent="0.3"/>
    <row r="800" s="946" customFormat="1" x14ac:dyDescent="0.3"/>
    <row r="801" s="946" customFormat="1" x14ac:dyDescent="0.3"/>
    <row r="802" s="946" customFormat="1" x14ac:dyDescent="0.3"/>
    <row r="803" s="946" customFormat="1" x14ac:dyDescent="0.3"/>
    <row r="804" s="946" customFormat="1" x14ac:dyDescent="0.3"/>
    <row r="805" s="946" customFormat="1" x14ac:dyDescent="0.3"/>
    <row r="806" s="946" customFormat="1" x14ac:dyDescent="0.3"/>
    <row r="807" s="946" customFormat="1" x14ac:dyDescent="0.3"/>
    <row r="808" s="946" customFormat="1" x14ac:dyDescent="0.3"/>
    <row r="809" s="946" customFormat="1" x14ac:dyDescent="0.3"/>
    <row r="810" s="946" customFormat="1" x14ac:dyDescent="0.3"/>
    <row r="811" s="946" customFormat="1" x14ac:dyDescent="0.3"/>
    <row r="812" s="946" customFormat="1" x14ac:dyDescent="0.3"/>
    <row r="813" s="946" customFormat="1" x14ac:dyDescent="0.3"/>
    <row r="814" s="946" customFormat="1" x14ac:dyDescent="0.3"/>
    <row r="815" s="946" customFormat="1" x14ac:dyDescent="0.3"/>
    <row r="816" s="946" customFormat="1" x14ac:dyDescent="0.3"/>
    <row r="817" s="946" customFormat="1" x14ac:dyDescent="0.3"/>
    <row r="818" s="946" customFormat="1" x14ac:dyDescent="0.3"/>
    <row r="819" s="946" customFormat="1" x14ac:dyDescent="0.3"/>
    <row r="820" s="946" customFormat="1" x14ac:dyDescent="0.3"/>
    <row r="821" s="946" customFormat="1" x14ac:dyDescent="0.3"/>
    <row r="822" s="946" customFormat="1" x14ac:dyDescent="0.3"/>
    <row r="823" s="946" customFormat="1" x14ac:dyDescent="0.3"/>
    <row r="824" s="946" customFormat="1" x14ac:dyDescent="0.3"/>
    <row r="825" s="946" customFormat="1" x14ac:dyDescent="0.3"/>
    <row r="826" s="946" customFormat="1" x14ac:dyDescent="0.3"/>
    <row r="827" s="946" customFormat="1" x14ac:dyDescent="0.3"/>
    <row r="828" s="946" customFormat="1" x14ac:dyDescent="0.3"/>
    <row r="829" s="946" customFormat="1" x14ac:dyDescent="0.3"/>
    <row r="830" s="946" customFormat="1" x14ac:dyDescent="0.3"/>
    <row r="831" s="946" customFormat="1" x14ac:dyDescent="0.3"/>
    <row r="832" s="946" customFormat="1" x14ac:dyDescent="0.3"/>
    <row r="833" s="946" customFormat="1" x14ac:dyDescent="0.3"/>
    <row r="834" s="946" customFormat="1" x14ac:dyDescent="0.3"/>
    <row r="835" s="946" customFormat="1" x14ac:dyDescent="0.3"/>
    <row r="836" s="946" customFormat="1" x14ac:dyDescent="0.3"/>
    <row r="837" s="946" customFormat="1" x14ac:dyDescent="0.3"/>
    <row r="838" s="946" customFormat="1" x14ac:dyDescent="0.3"/>
    <row r="839" s="946" customFormat="1" x14ac:dyDescent="0.3"/>
    <row r="840" s="946" customFormat="1" x14ac:dyDescent="0.3"/>
    <row r="841" s="946" customFormat="1" x14ac:dyDescent="0.3"/>
    <row r="842" s="946" customFormat="1" x14ac:dyDescent="0.3"/>
    <row r="843" s="946" customFormat="1" x14ac:dyDescent="0.3"/>
    <row r="844" s="946" customFormat="1" x14ac:dyDescent="0.3"/>
    <row r="845" s="946" customFormat="1" x14ac:dyDescent="0.3"/>
    <row r="846" s="946" customFormat="1" x14ac:dyDescent="0.3"/>
    <row r="847" s="946" customFormat="1" x14ac:dyDescent="0.3"/>
    <row r="848" s="946" customFormat="1" x14ac:dyDescent="0.3"/>
    <row r="849" s="946" customFormat="1" x14ac:dyDescent="0.3"/>
    <row r="850" s="946" customFormat="1" x14ac:dyDescent="0.3"/>
    <row r="851" s="946" customFormat="1" x14ac:dyDescent="0.3"/>
    <row r="852" s="946" customFormat="1" x14ac:dyDescent="0.3"/>
    <row r="853" s="946" customFormat="1" x14ac:dyDescent="0.3"/>
    <row r="854" s="946" customFormat="1" x14ac:dyDescent="0.3"/>
    <row r="855" s="946" customFormat="1" x14ac:dyDescent="0.3"/>
    <row r="856" s="946" customFormat="1" x14ac:dyDescent="0.3"/>
    <row r="857" s="946" customFormat="1" x14ac:dyDescent="0.3"/>
    <row r="858" s="946" customFormat="1" x14ac:dyDescent="0.3"/>
    <row r="859" s="946" customFormat="1" x14ac:dyDescent="0.3"/>
    <row r="860" s="946" customFormat="1" x14ac:dyDescent="0.3"/>
    <row r="861" s="946" customFormat="1" x14ac:dyDescent="0.3"/>
    <row r="862" s="946" customFormat="1" x14ac:dyDescent="0.3"/>
    <row r="863" s="946" customFormat="1" x14ac:dyDescent="0.3"/>
    <row r="864" s="946" customFormat="1" x14ac:dyDescent="0.3"/>
    <row r="865" s="946" customFormat="1" x14ac:dyDescent="0.3"/>
    <row r="866" s="946" customFormat="1" x14ac:dyDescent="0.3"/>
    <row r="867" s="946" customFormat="1" x14ac:dyDescent="0.3"/>
    <row r="868" s="946" customFormat="1" x14ac:dyDescent="0.3"/>
    <row r="869" s="946" customFormat="1" x14ac:dyDescent="0.3"/>
    <row r="870" s="946" customFormat="1" x14ac:dyDescent="0.3"/>
    <row r="871" s="946" customFormat="1" x14ac:dyDescent="0.3"/>
    <row r="872" s="946" customFormat="1" x14ac:dyDescent="0.3"/>
    <row r="873" s="946" customFormat="1" x14ac:dyDescent="0.3"/>
    <row r="874" s="946" customFormat="1" x14ac:dyDescent="0.3"/>
    <row r="875" s="946" customFormat="1" x14ac:dyDescent="0.3"/>
    <row r="876" s="946" customFormat="1" x14ac:dyDescent="0.3"/>
    <row r="877" s="946" customFormat="1" x14ac:dyDescent="0.3"/>
    <row r="878" s="946" customFormat="1" x14ac:dyDescent="0.3"/>
    <row r="879" s="946" customFormat="1" x14ac:dyDescent="0.3"/>
    <row r="880" s="946" customFormat="1" x14ac:dyDescent="0.3"/>
    <row r="881" s="946" customFormat="1" x14ac:dyDescent="0.3"/>
    <row r="882" s="946" customFormat="1" x14ac:dyDescent="0.3"/>
    <row r="883" s="946" customFormat="1" x14ac:dyDescent="0.3"/>
    <row r="884" s="946" customFormat="1" x14ac:dyDescent="0.3"/>
    <row r="885" s="946" customFormat="1" x14ac:dyDescent="0.3"/>
    <row r="886" s="946" customFormat="1" x14ac:dyDescent="0.3"/>
    <row r="887" s="946" customFormat="1" x14ac:dyDescent="0.3"/>
    <row r="888" s="946" customFormat="1" x14ac:dyDescent="0.3"/>
    <row r="889" s="946" customFormat="1" x14ac:dyDescent="0.3"/>
    <row r="890" s="946" customFormat="1" x14ac:dyDescent="0.3"/>
    <row r="891" s="946" customFormat="1" x14ac:dyDescent="0.3"/>
    <row r="892" s="946" customFormat="1" x14ac:dyDescent="0.3"/>
    <row r="893" s="946" customFormat="1" x14ac:dyDescent="0.3"/>
    <row r="894" s="946" customFormat="1" x14ac:dyDescent="0.3"/>
    <row r="895" s="946" customFormat="1" x14ac:dyDescent="0.3"/>
    <row r="896" s="946" customFormat="1" x14ac:dyDescent="0.3"/>
    <row r="897" s="946" customFormat="1" x14ac:dyDescent="0.3"/>
    <row r="898" s="946" customFormat="1" x14ac:dyDescent="0.3"/>
    <row r="899" s="946" customFormat="1" x14ac:dyDescent="0.3"/>
    <row r="900" s="946" customFormat="1" x14ac:dyDescent="0.3"/>
    <row r="901" s="946" customFormat="1" x14ac:dyDescent="0.3"/>
    <row r="902" s="946" customFormat="1" x14ac:dyDescent="0.3"/>
    <row r="903" s="946" customFormat="1" x14ac:dyDescent="0.3"/>
    <row r="904" s="946" customFormat="1" x14ac:dyDescent="0.3"/>
    <row r="905" s="946" customFormat="1" x14ac:dyDescent="0.3"/>
    <row r="906" s="946" customFormat="1" x14ac:dyDescent="0.3"/>
    <row r="907" s="946" customFormat="1" x14ac:dyDescent="0.3"/>
    <row r="908" s="946" customFormat="1" x14ac:dyDescent="0.3"/>
    <row r="909" s="946" customFormat="1" x14ac:dyDescent="0.3"/>
    <row r="910" s="946" customFormat="1" x14ac:dyDescent="0.3"/>
    <row r="911" s="946" customFormat="1" x14ac:dyDescent="0.3"/>
    <row r="912" s="946" customFormat="1" x14ac:dyDescent="0.3"/>
    <row r="913" s="946" customFormat="1" x14ac:dyDescent="0.3"/>
    <row r="914" s="946" customFormat="1" x14ac:dyDescent="0.3"/>
    <row r="915" s="946" customFormat="1" x14ac:dyDescent="0.3"/>
    <row r="916" s="946" customFormat="1" x14ac:dyDescent="0.3"/>
    <row r="917" s="946" customFormat="1" x14ac:dyDescent="0.3"/>
    <row r="918" s="946" customFormat="1" x14ac:dyDescent="0.3"/>
    <row r="919" s="946" customFormat="1" x14ac:dyDescent="0.3"/>
    <row r="920" s="946" customFormat="1" x14ac:dyDescent="0.3"/>
    <row r="921" s="946" customFormat="1" x14ac:dyDescent="0.3"/>
    <row r="922" s="946" customFormat="1" x14ac:dyDescent="0.3"/>
    <row r="923" s="946" customFormat="1" x14ac:dyDescent="0.3"/>
    <row r="924" s="946" customFormat="1" x14ac:dyDescent="0.3"/>
    <row r="925" s="946" customFormat="1" x14ac:dyDescent="0.3"/>
    <row r="926" s="946" customFormat="1" x14ac:dyDescent="0.3"/>
    <row r="927" s="946" customFormat="1" x14ac:dyDescent="0.3"/>
    <row r="928" s="946" customFormat="1" x14ac:dyDescent="0.3"/>
    <row r="929" s="946" customFormat="1" x14ac:dyDescent="0.3"/>
    <row r="930" s="946" customFormat="1" x14ac:dyDescent="0.3"/>
    <row r="931" s="946" customFormat="1" x14ac:dyDescent="0.3"/>
    <row r="932" s="946" customFormat="1" x14ac:dyDescent="0.3"/>
    <row r="933" s="946" customFormat="1" x14ac:dyDescent="0.3"/>
    <row r="934" s="946" customFormat="1" x14ac:dyDescent="0.3"/>
    <row r="935" s="946" customFormat="1" x14ac:dyDescent="0.3"/>
    <row r="936" s="946" customFormat="1" x14ac:dyDescent="0.3"/>
    <row r="937" s="946" customFormat="1" x14ac:dyDescent="0.3"/>
    <row r="938" s="946" customFormat="1" x14ac:dyDescent="0.3"/>
    <row r="939" s="946" customFormat="1" x14ac:dyDescent="0.3"/>
    <row r="940" s="946" customFormat="1" x14ac:dyDescent="0.3"/>
    <row r="941" s="946" customFormat="1" x14ac:dyDescent="0.3"/>
    <row r="942" s="946" customFormat="1" x14ac:dyDescent="0.3"/>
    <row r="943" s="946" customFormat="1" x14ac:dyDescent="0.3"/>
    <row r="944" s="946" customFormat="1" x14ac:dyDescent="0.3"/>
    <row r="945" s="946" customFormat="1" x14ac:dyDescent="0.3"/>
    <row r="946" s="946" customFormat="1" x14ac:dyDescent="0.3"/>
    <row r="947" s="946" customFormat="1" x14ac:dyDescent="0.3"/>
    <row r="948" s="946" customFormat="1" x14ac:dyDescent="0.3"/>
    <row r="949" s="946" customFormat="1" x14ac:dyDescent="0.3"/>
    <row r="950" s="946" customFormat="1" x14ac:dyDescent="0.3"/>
    <row r="951" s="946" customFormat="1" x14ac:dyDescent="0.3"/>
    <row r="952" s="946" customFormat="1" x14ac:dyDescent="0.3"/>
    <row r="953" s="946" customFormat="1" x14ac:dyDescent="0.3"/>
    <row r="954" s="946" customFormat="1" x14ac:dyDescent="0.3"/>
    <row r="955" s="946" customFormat="1" x14ac:dyDescent="0.3"/>
    <row r="956" s="946" customFormat="1" x14ac:dyDescent="0.3"/>
    <row r="957" s="946" customFormat="1" x14ac:dyDescent="0.3"/>
    <row r="958" s="946" customFormat="1" x14ac:dyDescent="0.3"/>
    <row r="959" s="946" customFormat="1" x14ac:dyDescent="0.3"/>
    <row r="960" s="946" customFormat="1" x14ac:dyDescent="0.3"/>
    <row r="961" s="946" customFormat="1" x14ac:dyDescent="0.3"/>
    <row r="962" s="946" customFormat="1" x14ac:dyDescent="0.3"/>
    <row r="963" s="946" customFormat="1" x14ac:dyDescent="0.3"/>
    <row r="964" s="946" customFormat="1" x14ac:dyDescent="0.3"/>
    <row r="965" s="946" customFormat="1" x14ac:dyDescent="0.3"/>
    <row r="966" s="946" customFormat="1" x14ac:dyDescent="0.3"/>
    <row r="967" s="946" customFormat="1" x14ac:dyDescent="0.3"/>
    <row r="968" s="946" customFormat="1" x14ac:dyDescent="0.3"/>
    <row r="969" s="946" customFormat="1" x14ac:dyDescent="0.3"/>
    <row r="970" s="946" customFormat="1" x14ac:dyDescent="0.3"/>
    <row r="971" s="946" customFormat="1" x14ac:dyDescent="0.3"/>
    <row r="972" s="946" customFormat="1" x14ac:dyDescent="0.3"/>
    <row r="973" s="946" customFormat="1" x14ac:dyDescent="0.3"/>
    <row r="974" s="946" customFormat="1" x14ac:dyDescent="0.3"/>
    <row r="975" s="946" customFormat="1" x14ac:dyDescent="0.3"/>
    <row r="976" s="946" customFormat="1" x14ac:dyDescent="0.3"/>
    <row r="977" s="946" customFormat="1" x14ac:dyDescent="0.3"/>
    <row r="978" s="946" customFormat="1" x14ac:dyDescent="0.3"/>
    <row r="979" s="946" customFormat="1" x14ac:dyDescent="0.3"/>
    <row r="980" s="946" customFormat="1" x14ac:dyDescent="0.3"/>
    <row r="981" s="946" customFormat="1" x14ac:dyDescent="0.3"/>
    <row r="982" s="946" customFormat="1" x14ac:dyDescent="0.3"/>
    <row r="983" s="946" customFormat="1" x14ac:dyDescent="0.3"/>
    <row r="984" s="946" customFormat="1" x14ac:dyDescent="0.3"/>
    <row r="985" s="946" customFormat="1" x14ac:dyDescent="0.3"/>
    <row r="986" s="946" customFormat="1" x14ac:dyDescent="0.3"/>
    <row r="987" s="946" customFormat="1" x14ac:dyDescent="0.3"/>
    <row r="988" s="946" customFormat="1" x14ac:dyDescent="0.3"/>
    <row r="989" s="946" customFormat="1" x14ac:dyDescent="0.3"/>
    <row r="990" s="946" customFormat="1" x14ac:dyDescent="0.3"/>
    <row r="991" s="946" customFormat="1" x14ac:dyDescent="0.3"/>
    <row r="992" s="946" customFormat="1" x14ac:dyDescent="0.3"/>
    <row r="993" s="946" customFormat="1" x14ac:dyDescent="0.3"/>
    <row r="994" s="946" customFormat="1" x14ac:dyDescent="0.3"/>
    <row r="995" s="946" customFormat="1" x14ac:dyDescent="0.3"/>
    <row r="996" s="946" customFormat="1" x14ac:dyDescent="0.3"/>
    <row r="997" s="946" customFormat="1" x14ac:dyDescent="0.3"/>
    <row r="998" s="946" customFormat="1" x14ac:dyDescent="0.3"/>
    <row r="999" s="946" customFormat="1" x14ac:dyDescent="0.3"/>
    <row r="1000" s="946" customFormat="1" x14ac:dyDescent="0.3"/>
    <row r="1001" s="946" customFormat="1" x14ac:dyDescent="0.3"/>
    <row r="1002" s="946" customFormat="1" x14ac:dyDescent="0.3"/>
    <row r="1003" s="946" customFormat="1" x14ac:dyDescent="0.3"/>
    <row r="1004" s="946" customFormat="1" x14ac:dyDescent="0.3"/>
    <row r="1005" s="946" customFormat="1" x14ac:dyDescent="0.3"/>
    <row r="1006" s="946" customFormat="1" x14ac:dyDescent="0.3"/>
    <row r="1007" s="946" customFormat="1" x14ac:dyDescent="0.3"/>
    <row r="1008" s="946" customFormat="1" x14ac:dyDescent="0.3"/>
    <row r="1009" s="946" customFormat="1" x14ac:dyDescent="0.3"/>
    <row r="1010" s="946" customFormat="1" x14ac:dyDescent="0.3"/>
    <row r="1011" s="946" customFormat="1" x14ac:dyDescent="0.3"/>
    <row r="1012" s="946" customFormat="1" x14ac:dyDescent="0.3"/>
    <row r="1013" s="946" customFormat="1" x14ac:dyDescent="0.3"/>
    <row r="1014" s="946" customFormat="1" x14ac:dyDescent="0.3"/>
    <row r="1015" s="946" customFormat="1" x14ac:dyDescent="0.3"/>
    <row r="1016" s="946" customFormat="1" x14ac:dyDescent="0.3"/>
    <row r="1017" s="946" customFormat="1" x14ac:dyDescent="0.3"/>
    <row r="1018" s="946" customFormat="1" x14ac:dyDescent="0.3"/>
    <row r="1019" s="946" customFormat="1" x14ac:dyDescent="0.3"/>
    <row r="1020" s="946" customFormat="1" x14ac:dyDescent="0.3"/>
    <row r="1021" s="946" customFormat="1" x14ac:dyDescent="0.3"/>
    <row r="1022" s="946" customFormat="1" x14ac:dyDescent="0.3"/>
    <row r="1023" s="946" customFormat="1" x14ac:dyDescent="0.3"/>
    <row r="1024" s="946" customFormat="1" x14ac:dyDescent="0.3"/>
    <row r="1025" s="946" customFormat="1" x14ac:dyDescent="0.3"/>
    <row r="1026" s="946" customFormat="1" x14ac:dyDescent="0.3"/>
    <row r="1027" s="946" customFormat="1" x14ac:dyDescent="0.3"/>
    <row r="1028" s="946" customFormat="1" x14ac:dyDescent="0.3"/>
    <row r="1029" s="946" customFormat="1" x14ac:dyDescent="0.3"/>
    <row r="1030" s="946" customFormat="1" x14ac:dyDescent="0.3"/>
    <row r="1031" s="946" customFormat="1" x14ac:dyDescent="0.3"/>
    <row r="1032" s="946" customFormat="1" x14ac:dyDescent="0.3"/>
    <row r="1033" s="946" customFormat="1" x14ac:dyDescent="0.3"/>
    <row r="1034" s="946" customFormat="1" x14ac:dyDescent="0.3"/>
    <row r="1035" s="946" customFormat="1" x14ac:dyDescent="0.3"/>
    <row r="1036" s="946" customFormat="1" x14ac:dyDescent="0.3"/>
    <row r="1037" s="946" customFormat="1" x14ac:dyDescent="0.3"/>
    <row r="1038" s="946" customFormat="1" x14ac:dyDescent="0.3"/>
    <row r="1039" s="946" customFormat="1" x14ac:dyDescent="0.3"/>
    <row r="1040" s="946" customFormat="1" x14ac:dyDescent="0.3"/>
    <row r="1041" s="946" customFormat="1" x14ac:dyDescent="0.3"/>
    <row r="1042" s="946" customFormat="1" x14ac:dyDescent="0.3"/>
    <row r="1043" s="946" customFormat="1" x14ac:dyDescent="0.3"/>
    <row r="1044" s="946" customFormat="1" x14ac:dyDescent="0.3"/>
    <row r="1045" s="946" customFormat="1" x14ac:dyDescent="0.3"/>
    <row r="1046" s="946" customFormat="1" x14ac:dyDescent="0.3"/>
    <row r="1047" s="946" customFormat="1" x14ac:dyDescent="0.3"/>
    <row r="1048" s="946" customFormat="1" x14ac:dyDescent="0.3"/>
    <row r="1049" s="946" customFormat="1" x14ac:dyDescent="0.3"/>
    <row r="1050" s="946" customFormat="1" x14ac:dyDescent="0.3"/>
    <row r="1051" s="946" customFormat="1" x14ac:dyDescent="0.3"/>
    <row r="1052" s="946" customFormat="1" x14ac:dyDescent="0.3"/>
    <row r="1053" s="946" customFormat="1" x14ac:dyDescent="0.3"/>
    <row r="1054" s="946" customFormat="1" x14ac:dyDescent="0.3"/>
    <row r="1055" s="946" customFormat="1" x14ac:dyDescent="0.3"/>
    <row r="1056" s="946" customFormat="1" x14ac:dyDescent="0.3"/>
    <row r="1057" s="946" customFormat="1" x14ac:dyDescent="0.3"/>
    <row r="1058" s="946" customFormat="1" x14ac:dyDescent="0.3"/>
    <row r="1059" s="946" customFormat="1" x14ac:dyDescent="0.3"/>
    <row r="1060" s="946" customFormat="1" x14ac:dyDescent="0.3"/>
    <row r="1061" s="946" customFormat="1" x14ac:dyDescent="0.3"/>
    <row r="1062" s="946" customFormat="1" x14ac:dyDescent="0.3"/>
    <row r="1063" s="946" customFormat="1" x14ac:dyDescent="0.3"/>
    <row r="1064" s="946" customFormat="1" x14ac:dyDescent="0.3"/>
    <row r="1065" s="946" customFormat="1" x14ac:dyDescent="0.3"/>
    <row r="1066" s="946" customFormat="1" x14ac:dyDescent="0.3"/>
    <row r="1067" s="946" customFormat="1" x14ac:dyDescent="0.3"/>
    <row r="1068" s="946" customFormat="1" x14ac:dyDescent="0.3"/>
    <row r="1069" s="946" customFormat="1" x14ac:dyDescent="0.3"/>
    <row r="1070" s="946" customFormat="1" x14ac:dyDescent="0.3"/>
    <row r="1071" s="946" customFormat="1" x14ac:dyDescent="0.3"/>
    <row r="1072" s="946" customFormat="1" x14ac:dyDescent="0.3"/>
    <row r="1073" s="946" customFormat="1" x14ac:dyDescent="0.3"/>
    <row r="1074" s="946" customFormat="1" x14ac:dyDescent="0.3"/>
    <row r="1075" s="946" customFormat="1" x14ac:dyDescent="0.3"/>
    <row r="1076" s="946" customFormat="1" x14ac:dyDescent="0.3"/>
    <row r="1077" s="946" customFormat="1" x14ac:dyDescent="0.3"/>
    <row r="1078" s="946" customFormat="1" x14ac:dyDescent="0.3"/>
    <row r="1079" s="946" customFormat="1" x14ac:dyDescent="0.3"/>
    <row r="1080" s="946" customFormat="1" x14ac:dyDescent="0.3"/>
    <row r="1081" s="946" customFormat="1" x14ac:dyDescent="0.3"/>
    <row r="1082" s="946" customFormat="1" x14ac:dyDescent="0.3"/>
    <row r="1083" s="946" customFormat="1" x14ac:dyDescent="0.3"/>
    <row r="1084" s="946" customFormat="1" x14ac:dyDescent="0.3"/>
    <row r="1085" s="946" customFormat="1" x14ac:dyDescent="0.3"/>
    <row r="1086" s="946" customFormat="1" x14ac:dyDescent="0.3"/>
    <row r="1087" s="946" customFormat="1" x14ac:dyDescent="0.3"/>
    <row r="1088" s="946" customFormat="1" x14ac:dyDescent="0.3"/>
    <row r="1089" s="946" customFormat="1" x14ac:dyDescent="0.3"/>
    <row r="1090" s="946" customFormat="1" x14ac:dyDescent="0.3"/>
    <row r="1091" s="946" customFormat="1" x14ac:dyDescent="0.3"/>
    <row r="1092" s="946" customFormat="1" x14ac:dyDescent="0.3"/>
    <row r="1093" s="946" customFormat="1" x14ac:dyDescent="0.3"/>
    <row r="1094" s="946" customFormat="1" x14ac:dyDescent="0.3"/>
    <row r="1095" s="946" customFormat="1" x14ac:dyDescent="0.3"/>
    <row r="1096" s="946" customFormat="1" x14ac:dyDescent="0.3"/>
    <row r="1097" s="946" customFormat="1" x14ac:dyDescent="0.3"/>
    <row r="1098" s="946" customFormat="1" x14ac:dyDescent="0.3"/>
    <row r="1099" s="946" customFormat="1" x14ac:dyDescent="0.3"/>
    <row r="1100" s="946" customFormat="1" x14ac:dyDescent="0.3"/>
    <row r="1101" s="946" customFormat="1" x14ac:dyDescent="0.3"/>
    <row r="1102" s="946" customFormat="1" x14ac:dyDescent="0.3"/>
    <row r="1103" s="946" customFormat="1" x14ac:dyDescent="0.3"/>
    <row r="1104" s="946" customFormat="1" x14ac:dyDescent="0.3"/>
    <row r="1105" s="946" customFormat="1" x14ac:dyDescent="0.3"/>
    <row r="1106" s="946" customFormat="1" x14ac:dyDescent="0.3"/>
    <row r="1107" s="946" customFormat="1" x14ac:dyDescent="0.3"/>
    <row r="1108" s="946" customFormat="1" x14ac:dyDescent="0.3"/>
    <row r="1109" s="946" customFormat="1" x14ac:dyDescent="0.3"/>
    <row r="1110" s="946" customFormat="1" x14ac:dyDescent="0.3"/>
    <row r="1111" s="946" customFormat="1" x14ac:dyDescent="0.3"/>
    <row r="1112" s="946" customFormat="1" x14ac:dyDescent="0.3"/>
    <row r="1113" s="946" customFormat="1" x14ac:dyDescent="0.3"/>
    <row r="1114" s="946" customFormat="1" x14ac:dyDescent="0.3"/>
    <row r="1115" s="946" customFormat="1" x14ac:dyDescent="0.3"/>
    <row r="1116" s="946" customFormat="1" x14ac:dyDescent="0.3"/>
    <row r="1117" s="946" customFormat="1" x14ac:dyDescent="0.3"/>
    <row r="1118" s="946" customFormat="1" x14ac:dyDescent="0.3"/>
    <row r="1119" s="946" customFormat="1" x14ac:dyDescent="0.3"/>
    <row r="1120" s="946" customFormat="1" x14ac:dyDescent="0.3"/>
    <row r="1121" s="946" customFormat="1" x14ac:dyDescent="0.3"/>
    <row r="1122" s="946" customFormat="1" x14ac:dyDescent="0.3"/>
    <row r="1123" s="946" customFormat="1" x14ac:dyDescent="0.3"/>
    <row r="1124" s="946" customFormat="1" x14ac:dyDescent="0.3"/>
    <row r="1125" s="946" customFormat="1" x14ac:dyDescent="0.3"/>
    <row r="1126" s="946" customFormat="1" x14ac:dyDescent="0.3"/>
    <row r="1127" s="946" customFormat="1" x14ac:dyDescent="0.3"/>
    <row r="1128" s="946" customFormat="1" x14ac:dyDescent="0.3"/>
    <row r="1129" s="946" customFormat="1" x14ac:dyDescent="0.3"/>
    <row r="1130" s="946" customFormat="1" x14ac:dyDescent="0.3"/>
    <row r="1131" s="946" customFormat="1" x14ac:dyDescent="0.3"/>
    <row r="1132" s="946" customFormat="1" x14ac:dyDescent="0.3"/>
    <row r="1133" s="946" customFormat="1" x14ac:dyDescent="0.3"/>
    <row r="1134" s="946" customFormat="1" x14ac:dyDescent="0.3"/>
    <row r="1135" s="946" customFormat="1" x14ac:dyDescent="0.3"/>
    <row r="1136" s="946" customFormat="1" x14ac:dyDescent="0.3"/>
    <row r="1137" s="946" customFormat="1" x14ac:dyDescent="0.3"/>
    <row r="1138" s="946" customFormat="1" x14ac:dyDescent="0.3"/>
    <row r="1139" s="946" customFormat="1" x14ac:dyDescent="0.3"/>
    <row r="1140" s="946" customFormat="1" x14ac:dyDescent="0.3"/>
    <row r="1141" s="946" customFormat="1" x14ac:dyDescent="0.3"/>
    <row r="1142" s="946" customFormat="1" x14ac:dyDescent="0.3"/>
    <row r="1143" s="946" customFormat="1" x14ac:dyDescent="0.3"/>
    <row r="1144" s="946" customFormat="1" x14ac:dyDescent="0.3"/>
    <row r="1145" s="946" customFormat="1" x14ac:dyDescent="0.3"/>
    <row r="1146" s="946" customFormat="1" x14ac:dyDescent="0.3"/>
    <row r="1147" s="946" customFormat="1" x14ac:dyDescent="0.3"/>
    <row r="1148" s="946" customFormat="1" x14ac:dyDescent="0.3"/>
    <row r="1149" s="946" customFormat="1" x14ac:dyDescent="0.3"/>
    <row r="1150" s="946" customFormat="1" x14ac:dyDescent="0.3"/>
    <row r="1151" s="946" customFormat="1" x14ac:dyDescent="0.3"/>
    <row r="1152" s="946" customFormat="1" x14ac:dyDescent="0.3"/>
    <row r="1153" s="946" customFormat="1" x14ac:dyDescent="0.3"/>
    <row r="1154" s="946" customFormat="1" x14ac:dyDescent="0.3"/>
    <row r="1155" s="946" customFormat="1" x14ac:dyDescent="0.3"/>
    <row r="1156" s="946" customFormat="1" x14ac:dyDescent="0.3"/>
    <row r="1157" s="946" customFormat="1" x14ac:dyDescent="0.3"/>
    <row r="1158" s="946" customFormat="1" x14ac:dyDescent="0.3"/>
    <row r="1159" s="946" customFormat="1" x14ac:dyDescent="0.3"/>
    <row r="1160" s="946" customFormat="1" x14ac:dyDescent="0.3"/>
    <row r="1161" s="946" customFormat="1" x14ac:dyDescent="0.3"/>
    <row r="1162" s="946" customFormat="1" x14ac:dyDescent="0.3"/>
    <row r="1163" s="946" customFormat="1" x14ac:dyDescent="0.3"/>
    <row r="1164" s="946" customFormat="1" x14ac:dyDescent="0.3"/>
    <row r="1165" s="946" customFormat="1" x14ac:dyDescent="0.3"/>
    <row r="1166" s="946" customFormat="1" x14ac:dyDescent="0.3"/>
    <row r="1167" s="946" customFormat="1" x14ac:dyDescent="0.3"/>
    <row r="1168" s="946" customFormat="1" x14ac:dyDescent="0.3"/>
    <row r="1169" s="946" customFormat="1" x14ac:dyDescent="0.3"/>
    <row r="1170" s="946" customFormat="1" x14ac:dyDescent="0.3"/>
    <row r="1171" s="946" customFormat="1" x14ac:dyDescent="0.3"/>
    <row r="1172" s="946" customFormat="1" x14ac:dyDescent="0.3"/>
    <row r="1173" s="946" customFormat="1" x14ac:dyDescent="0.3"/>
    <row r="1174" s="946" customFormat="1" x14ac:dyDescent="0.3"/>
    <row r="1175" s="946" customFormat="1" x14ac:dyDescent="0.3"/>
    <row r="1176" s="946" customFormat="1" x14ac:dyDescent="0.3"/>
    <row r="1177" s="946" customFormat="1" x14ac:dyDescent="0.3"/>
    <row r="1178" s="946" customFormat="1" x14ac:dyDescent="0.3"/>
    <row r="1179" s="946" customFormat="1" x14ac:dyDescent="0.3"/>
    <row r="1180" s="946" customFormat="1" x14ac:dyDescent="0.3"/>
    <row r="1181" s="946" customFormat="1" x14ac:dyDescent="0.3"/>
    <row r="1182" s="946" customFormat="1" x14ac:dyDescent="0.3"/>
    <row r="1183" s="946" customFormat="1" x14ac:dyDescent="0.3"/>
    <row r="1184" s="946" customFormat="1" x14ac:dyDescent="0.3"/>
    <row r="1185" s="946" customFormat="1" x14ac:dyDescent="0.3"/>
    <row r="1186" s="946" customFormat="1" x14ac:dyDescent="0.3"/>
    <row r="1187" s="946" customFormat="1" x14ac:dyDescent="0.3"/>
    <row r="1188" s="946" customFormat="1" x14ac:dyDescent="0.3"/>
    <row r="1189" s="946" customFormat="1" x14ac:dyDescent="0.3"/>
    <row r="1190" s="946" customFormat="1" x14ac:dyDescent="0.3"/>
    <row r="1191" s="946" customFormat="1" x14ac:dyDescent="0.3"/>
    <row r="1192" s="946" customFormat="1" x14ac:dyDescent="0.3"/>
    <row r="1193" s="946" customFormat="1" x14ac:dyDescent="0.3"/>
    <row r="1194" s="946" customFormat="1" x14ac:dyDescent="0.3"/>
    <row r="1195" s="946" customFormat="1" x14ac:dyDescent="0.3"/>
    <row r="1196" s="946" customFormat="1" x14ac:dyDescent="0.3"/>
    <row r="1197" s="946" customFormat="1" x14ac:dyDescent="0.3"/>
    <row r="1198" s="946" customFormat="1" x14ac:dyDescent="0.3"/>
    <row r="1199" s="946" customFormat="1" x14ac:dyDescent="0.3"/>
    <row r="1200" s="946" customFormat="1" x14ac:dyDescent="0.3"/>
    <row r="1201" s="946" customFormat="1" x14ac:dyDescent="0.3"/>
    <row r="1202" s="946" customFormat="1" x14ac:dyDescent="0.3"/>
    <row r="1203" s="946" customFormat="1" x14ac:dyDescent="0.3"/>
    <row r="1204" s="946" customFormat="1" x14ac:dyDescent="0.3"/>
    <row r="1205" s="946" customFormat="1" x14ac:dyDescent="0.3"/>
    <row r="1206" s="946" customFormat="1" x14ac:dyDescent="0.3"/>
    <row r="1207" s="946" customFormat="1" x14ac:dyDescent="0.3"/>
    <row r="1208" s="946" customFormat="1" x14ac:dyDescent="0.3"/>
    <row r="1209" s="946" customFormat="1" x14ac:dyDescent="0.3"/>
    <row r="1210" s="946" customFormat="1" x14ac:dyDescent="0.3"/>
    <row r="1211" s="946" customFormat="1" x14ac:dyDescent="0.3"/>
    <row r="1212" s="946" customFormat="1" x14ac:dyDescent="0.3"/>
    <row r="1213" s="946" customFormat="1" x14ac:dyDescent="0.3"/>
    <row r="1214" s="946" customFormat="1" x14ac:dyDescent="0.3"/>
    <row r="1215" s="946" customFormat="1" x14ac:dyDescent="0.3"/>
    <row r="1216" s="946" customFormat="1" x14ac:dyDescent="0.3"/>
    <row r="1217" s="946" customFormat="1" x14ac:dyDescent="0.3"/>
    <row r="1218" s="946" customFormat="1" x14ac:dyDescent="0.3"/>
    <row r="1219" s="946" customFormat="1" x14ac:dyDescent="0.3"/>
    <row r="1220" s="946" customFormat="1" x14ac:dyDescent="0.3"/>
    <row r="1221" s="946" customFormat="1" x14ac:dyDescent="0.3"/>
    <row r="1222" s="946" customFormat="1" x14ac:dyDescent="0.3"/>
    <row r="1223" s="946" customFormat="1" x14ac:dyDescent="0.3"/>
    <row r="1224" s="946" customFormat="1" x14ac:dyDescent="0.3"/>
    <row r="1225" s="946" customFormat="1" x14ac:dyDescent="0.3"/>
    <row r="1226" s="946" customFormat="1" x14ac:dyDescent="0.3"/>
    <row r="1227" s="946" customFormat="1" x14ac:dyDescent="0.3"/>
    <row r="1228" s="946" customFormat="1" x14ac:dyDescent="0.3"/>
    <row r="1229" s="946" customFormat="1" x14ac:dyDescent="0.3"/>
    <row r="1230" s="946" customFormat="1" x14ac:dyDescent="0.3"/>
    <row r="1231" s="946" customFormat="1" x14ac:dyDescent="0.3"/>
    <row r="1232" s="946" customFormat="1" x14ac:dyDescent="0.3"/>
    <row r="1233" s="946" customFormat="1" x14ac:dyDescent="0.3"/>
    <row r="1234" s="946" customFormat="1" x14ac:dyDescent="0.3"/>
    <row r="1235" s="946" customFormat="1" x14ac:dyDescent="0.3"/>
    <row r="1236" s="946" customFormat="1" x14ac:dyDescent="0.3"/>
    <row r="1237" s="946" customFormat="1" x14ac:dyDescent="0.3"/>
    <row r="1238" s="946" customFormat="1" x14ac:dyDescent="0.3"/>
    <row r="1239" s="946" customFormat="1" x14ac:dyDescent="0.3"/>
    <row r="1240" s="946" customFormat="1" x14ac:dyDescent="0.3"/>
    <row r="1241" s="946" customFormat="1" x14ac:dyDescent="0.3"/>
    <row r="1242" s="946" customFormat="1" x14ac:dyDescent="0.3"/>
    <row r="1243" s="946" customFormat="1" x14ac:dyDescent="0.3"/>
    <row r="1244" s="946" customFormat="1" x14ac:dyDescent="0.3"/>
    <row r="1245" s="946" customFormat="1" x14ac:dyDescent="0.3"/>
    <row r="1246" s="946" customFormat="1" x14ac:dyDescent="0.3"/>
    <row r="1247" s="946" customFormat="1" x14ac:dyDescent="0.3"/>
    <row r="1248" s="946" customFormat="1" x14ac:dyDescent="0.3"/>
    <row r="1249" s="946" customFormat="1" x14ac:dyDescent="0.3"/>
    <row r="1250" s="946" customFormat="1" x14ac:dyDescent="0.3"/>
    <row r="1251" s="946" customFormat="1" x14ac:dyDescent="0.3"/>
    <row r="1252" s="946" customFormat="1" x14ac:dyDescent="0.3"/>
    <row r="1253" s="946" customFormat="1" x14ac:dyDescent="0.3"/>
    <row r="1254" s="946" customFormat="1" x14ac:dyDescent="0.3"/>
    <row r="1255" s="946" customFormat="1" x14ac:dyDescent="0.3"/>
    <row r="1256" s="946" customFormat="1" x14ac:dyDescent="0.3"/>
    <row r="1257" s="946" customFormat="1" x14ac:dyDescent="0.3"/>
    <row r="1258" s="946" customFormat="1" x14ac:dyDescent="0.3"/>
    <row r="1259" s="946" customFormat="1" x14ac:dyDescent="0.3"/>
    <row r="1260" s="946" customFormat="1" x14ac:dyDescent="0.3"/>
    <row r="1261" s="946" customFormat="1" x14ac:dyDescent="0.3"/>
    <row r="1262" s="946" customFormat="1" x14ac:dyDescent="0.3"/>
    <row r="1263" s="946" customFormat="1" x14ac:dyDescent="0.3"/>
    <row r="1264" s="946" customFormat="1" x14ac:dyDescent="0.3"/>
    <row r="1265" s="946" customFormat="1" x14ac:dyDescent="0.3"/>
    <row r="1266" s="946" customFormat="1" x14ac:dyDescent="0.3"/>
    <row r="1267" s="946" customFormat="1" x14ac:dyDescent="0.3"/>
    <row r="1268" s="946" customFormat="1" x14ac:dyDescent="0.3"/>
    <row r="1269" s="946" customFormat="1" x14ac:dyDescent="0.3"/>
    <row r="1270" s="946" customFormat="1" x14ac:dyDescent="0.3"/>
    <row r="1271" s="946" customFormat="1" x14ac:dyDescent="0.3"/>
    <row r="1272" s="946" customFormat="1" x14ac:dyDescent="0.3"/>
    <row r="1273" s="946" customFormat="1" x14ac:dyDescent="0.3"/>
    <row r="1274" s="946" customFormat="1" x14ac:dyDescent="0.3"/>
    <row r="1275" s="946" customFormat="1" x14ac:dyDescent="0.3"/>
    <row r="1276" s="946" customFormat="1" x14ac:dyDescent="0.3"/>
    <row r="1277" s="946" customFormat="1" x14ac:dyDescent="0.3"/>
    <row r="1278" s="946" customFormat="1" x14ac:dyDescent="0.3"/>
    <row r="1279" s="946" customFormat="1" x14ac:dyDescent="0.3"/>
    <row r="1280" s="946" customFormat="1" x14ac:dyDescent="0.3"/>
    <row r="1281" s="946" customFormat="1" x14ac:dyDescent="0.3"/>
    <row r="1282" s="946" customFormat="1" x14ac:dyDescent="0.3"/>
    <row r="1283" s="946" customFormat="1" x14ac:dyDescent="0.3"/>
    <row r="1284" s="946" customFormat="1" x14ac:dyDescent="0.3"/>
    <row r="1285" s="946" customFormat="1" x14ac:dyDescent="0.3"/>
    <row r="1286" s="946" customFormat="1" x14ac:dyDescent="0.3"/>
    <row r="1287" s="946" customFormat="1" x14ac:dyDescent="0.3"/>
    <row r="1288" s="946" customFormat="1" x14ac:dyDescent="0.3"/>
    <row r="1289" s="946" customFormat="1" x14ac:dyDescent="0.3"/>
    <row r="1290" s="946" customFormat="1" x14ac:dyDescent="0.3"/>
    <row r="1291" s="946" customFormat="1" x14ac:dyDescent="0.3"/>
    <row r="1292" s="946" customFormat="1" x14ac:dyDescent="0.3"/>
    <row r="1293" s="946" customFormat="1" x14ac:dyDescent="0.3"/>
    <row r="1294" s="946" customFormat="1" x14ac:dyDescent="0.3"/>
    <row r="1295" s="946" customFormat="1" x14ac:dyDescent="0.3"/>
    <row r="1296" s="946" customFormat="1" x14ac:dyDescent="0.3"/>
    <row r="1297" s="946" customFormat="1" x14ac:dyDescent="0.3"/>
    <row r="1298" s="946" customFormat="1" x14ac:dyDescent="0.3"/>
    <row r="1299" s="946" customFormat="1" x14ac:dyDescent="0.3"/>
    <row r="1300" s="946" customFormat="1" x14ac:dyDescent="0.3"/>
    <row r="1301" s="946" customFormat="1" x14ac:dyDescent="0.3"/>
    <row r="1302" s="946" customFormat="1" x14ac:dyDescent="0.3"/>
    <row r="1303" s="946" customFormat="1" x14ac:dyDescent="0.3"/>
    <row r="1304" s="946" customFormat="1" x14ac:dyDescent="0.3"/>
    <row r="1305" s="946" customFormat="1" x14ac:dyDescent="0.3"/>
    <row r="1306" s="946" customFormat="1" x14ac:dyDescent="0.3"/>
    <row r="1307" s="946" customFormat="1" x14ac:dyDescent="0.3"/>
    <row r="1308" s="946" customFormat="1" x14ac:dyDescent="0.3"/>
    <row r="1309" s="946" customFormat="1" x14ac:dyDescent="0.3"/>
    <row r="1310" s="946" customFormat="1" x14ac:dyDescent="0.3"/>
    <row r="1311" s="946" customFormat="1" x14ac:dyDescent="0.3"/>
    <row r="1312" s="946" customFormat="1" x14ac:dyDescent="0.3"/>
    <row r="1313" s="946" customFormat="1" x14ac:dyDescent="0.3"/>
    <row r="1314" s="946" customFormat="1" x14ac:dyDescent="0.3"/>
    <row r="1315" s="946" customFormat="1" x14ac:dyDescent="0.3"/>
    <row r="1316" s="946" customFormat="1" x14ac:dyDescent="0.3"/>
    <row r="1317" s="946" customFormat="1" x14ac:dyDescent="0.3"/>
    <row r="1318" s="946" customFormat="1" x14ac:dyDescent="0.3"/>
    <row r="1319" s="946" customFormat="1" x14ac:dyDescent="0.3"/>
    <row r="1320" s="946" customFormat="1" x14ac:dyDescent="0.3"/>
    <row r="1321" s="946" customFormat="1" x14ac:dyDescent="0.3"/>
    <row r="1322" s="946" customFormat="1" x14ac:dyDescent="0.3"/>
    <row r="1323" s="946" customFormat="1" x14ac:dyDescent="0.3"/>
    <row r="1324" s="946" customFormat="1" x14ac:dyDescent="0.3"/>
    <row r="1325" s="946" customFormat="1" x14ac:dyDescent="0.3"/>
    <row r="1326" s="946" customFormat="1" x14ac:dyDescent="0.3"/>
    <row r="1327" s="946" customFormat="1" x14ac:dyDescent="0.3"/>
    <row r="1328" s="946" customFormat="1" x14ac:dyDescent="0.3"/>
    <row r="1329" s="946" customFormat="1" x14ac:dyDescent="0.3"/>
    <row r="1330" s="946" customFormat="1" x14ac:dyDescent="0.3"/>
    <row r="1331" s="946" customFormat="1" x14ac:dyDescent="0.3"/>
    <row r="1332" s="946" customFormat="1" x14ac:dyDescent="0.3"/>
    <row r="1333" s="946" customFormat="1" x14ac:dyDescent="0.3"/>
    <row r="1334" s="946" customFormat="1" x14ac:dyDescent="0.3"/>
    <row r="1335" s="946" customFormat="1" x14ac:dyDescent="0.3"/>
    <row r="1336" s="946" customFormat="1" x14ac:dyDescent="0.3"/>
    <row r="1337" s="946" customFormat="1" x14ac:dyDescent="0.3"/>
    <row r="1338" s="946" customFormat="1" x14ac:dyDescent="0.3"/>
    <row r="1339" s="946" customFormat="1" x14ac:dyDescent="0.3"/>
    <row r="1340" s="946" customFormat="1" x14ac:dyDescent="0.3"/>
    <row r="1341" s="946" customFormat="1" x14ac:dyDescent="0.3"/>
    <row r="1342" s="946" customFormat="1" x14ac:dyDescent="0.3"/>
    <row r="1343" s="946" customFormat="1" x14ac:dyDescent="0.3"/>
    <row r="1344" s="946" customFormat="1" x14ac:dyDescent="0.3"/>
    <row r="1345" s="946" customFormat="1" x14ac:dyDescent="0.3"/>
    <row r="1346" s="946" customFormat="1" x14ac:dyDescent="0.3"/>
    <row r="1347" s="946" customFormat="1" x14ac:dyDescent="0.3"/>
    <row r="1348" s="946" customFormat="1" x14ac:dyDescent="0.3"/>
    <row r="1349" s="946" customFormat="1" x14ac:dyDescent="0.3"/>
    <row r="1350" s="946" customFormat="1" x14ac:dyDescent="0.3"/>
    <row r="1351" s="946" customFormat="1" x14ac:dyDescent="0.3"/>
    <row r="1352" s="946" customFormat="1" x14ac:dyDescent="0.3"/>
    <row r="1353" s="946" customFormat="1" x14ac:dyDescent="0.3"/>
    <row r="1354" s="946" customFormat="1" x14ac:dyDescent="0.3"/>
    <row r="1355" s="946" customFormat="1" x14ac:dyDescent="0.3"/>
    <row r="1356" s="946" customFormat="1" x14ac:dyDescent="0.3"/>
    <row r="1357" s="946" customFormat="1" x14ac:dyDescent="0.3"/>
    <row r="1358" s="946" customFormat="1" x14ac:dyDescent="0.3"/>
    <row r="1359" s="946" customFormat="1" x14ac:dyDescent="0.3"/>
    <row r="1360" s="946" customFormat="1" x14ac:dyDescent="0.3"/>
    <row r="1361" s="946" customFormat="1" x14ac:dyDescent="0.3"/>
    <row r="1362" s="946" customFormat="1" x14ac:dyDescent="0.3"/>
    <row r="1363" s="946" customFormat="1" x14ac:dyDescent="0.3"/>
    <row r="1364" s="946" customFormat="1" x14ac:dyDescent="0.3"/>
    <row r="1365" s="946" customFormat="1" x14ac:dyDescent="0.3"/>
    <row r="1366" s="946" customFormat="1" x14ac:dyDescent="0.3"/>
    <row r="1367" s="946" customFormat="1" x14ac:dyDescent="0.3"/>
    <row r="1368" s="946" customFormat="1" x14ac:dyDescent="0.3"/>
    <row r="1369" s="946" customFormat="1" x14ac:dyDescent="0.3"/>
    <row r="1370" s="946" customFormat="1" x14ac:dyDescent="0.3"/>
    <row r="1371" s="946" customFormat="1" x14ac:dyDescent="0.3"/>
    <row r="1372" s="946" customFormat="1" x14ac:dyDescent="0.3"/>
    <row r="1373" s="946" customFormat="1" x14ac:dyDescent="0.3"/>
    <row r="1374" s="946" customFormat="1" x14ac:dyDescent="0.3"/>
    <row r="1375" s="946" customFormat="1" x14ac:dyDescent="0.3"/>
    <row r="1376" s="946" customFormat="1" x14ac:dyDescent="0.3"/>
    <row r="1377" s="946" customFormat="1" x14ac:dyDescent="0.3"/>
    <row r="1378" s="946" customFormat="1" x14ac:dyDescent="0.3"/>
    <row r="1379" s="946" customFormat="1" x14ac:dyDescent="0.3"/>
    <row r="1380" s="946" customFormat="1" x14ac:dyDescent="0.3"/>
    <row r="1381" s="946" customFormat="1" x14ac:dyDescent="0.3"/>
    <row r="1382" s="946" customFormat="1" x14ac:dyDescent="0.3"/>
    <row r="1383" s="946" customFormat="1" x14ac:dyDescent="0.3"/>
    <row r="1384" s="946" customFormat="1" x14ac:dyDescent="0.3"/>
    <row r="1385" s="946" customFormat="1" x14ac:dyDescent="0.3"/>
    <row r="1386" s="946" customFormat="1" x14ac:dyDescent="0.3"/>
    <row r="1387" s="946" customFormat="1" x14ac:dyDescent="0.3"/>
    <row r="1388" s="946" customFormat="1" x14ac:dyDescent="0.3"/>
    <row r="1389" s="946" customFormat="1" x14ac:dyDescent="0.3"/>
    <row r="1390" s="946" customFormat="1" x14ac:dyDescent="0.3"/>
    <row r="1391" s="946" customFormat="1" x14ac:dyDescent="0.3"/>
    <row r="1392" s="946" customFormat="1" x14ac:dyDescent="0.3"/>
    <row r="1393" s="946" customFormat="1" x14ac:dyDescent="0.3"/>
    <row r="1394" s="946" customFormat="1" x14ac:dyDescent="0.3"/>
    <row r="1395" s="946" customFormat="1" x14ac:dyDescent="0.3"/>
    <row r="1396" s="946" customFormat="1" x14ac:dyDescent="0.3"/>
    <row r="1397" s="946" customFormat="1" x14ac:dyDescent="0.3"/>
    <row r="1398" s="946" customFormat="1" x14ac:dyDescent="0.3"/>
    <row r="1399" s="946" customFormat="1" x14ac:dyDescent="0.3"/>
    <row r="1400" s="946" customFormat="1" x14ac:dyDescent="0.3"/>
    <row r="1401" s="946" customFormat="1" x14ac:dyDescent="0.3"/>
    <row r="1402" s="946" customFormat="1" x14ac:dyDescent="0.3"/>
    <row r="1403" s="946" customFormat="1" x14ac:dyDescent="0.3"/>
    <row r="1404" s="946" customFormat="1" x14ac:dyDescent="0.3"/>
    <row r="1405" s="946" customFormat="1" x14ac:dyDescent="0.3"/>
    <row r="1406" s="946" customFormat="1" x14ac:dyDescent="0.3"/>
    <row r="1407" s="946" customFormat="1" x14ac:dyDescent="0.3"/>
    <row r="1408" s="946" customFormat="1" x14ac:dyDescent="0.3"/>
    <row r="1409" s="946" customFormat="1" x14ac:dyDescent="0.3"/>
    <row r="1410" s="946" customFormat="1" x14ac:dyDescent="0.3"/>
    <row r="1411" s="946" customFormat="1" x14ac:dyDescent="0.3"/>
    <row r="1412" s="946" customFormat="1" x14ac:dyDescent="0.3"/>
    <row r="1413" s="946" customFormat="1" x14ac:dyDescent="0.3"/>
    <row r="1414" s="946" customFormat="1" x14ac:dyDescent="0.3"/>
    <row r="1415" s="946" customFormat="1" x14ac:dyDescent="0.3"/>
    <row r="1416" s="946" customFormat="1" x14ac:dyDescent="0.3"/>
    <row r="1417" s="946" customFormat="1" x14ac:dyDescent="0.3"/>
    <row r="1418" s="946" customFormat="1" x14ac:dyDescent="0.3"/>
    <row r="1419" s="946" customFormat="1" x14ac:dyDescent="0.3"/>
    <row r="1420" s="946" customFormat="1" x14ac:dyDescent="0.3"/>
    <row r="1421" s="946" customFormat="1" x14ac:dyDescent="0.3"/>
    <row r="1422" s="946" customFormat="1" x14ac:dyDescent="0.3"/>
    <row r="1423" s="946" customFormat="1" x14ac:dyDescent="0.3"/>
    <row r="1424" s="946" customFormat="1" x14ac:dyDescent="0.3"/>
    <row r="1425" s="946" customFormat="1" x14ac:dyDescent="0.3"/>
    <row r="1426" s="946" customFormat="1" x14ac:dyDescent="0.3"/>
    <row r="1427" s="946" customFormat="1" x14ac:dyDescent="0.3"/>
    <row r="1428" s="946" customFormat="1" x14ac:dyDescent="0.3"/>
    <row r="1429" s="946" customFormat="1" x14ac:dyDescent="0.3"/>
    <row r="1430" s="946" customFormat="1" x14ac:dyDescent="0.3"/>
    <row r="1431" s="946" customFormat="1" x14ac:dyDescent="0.3"/>
    <row r="1432" s="946" customFormat="1" x14ac:dyDescent="0.3"/>
    <row r="1433" s="946" customFormat="1" x14ac:dyDescent="0.3"/>
    <row r="1434" s="946" customFormat="1" x14ac:dyDescent="0.3"/>
    <row r="1435" s="946" customFormat="1" x14ac:dyDescent="0.3"/>
    <row r="1436" s="946" customFormat="1" x14ac:dyDescent="0.3"/>
    <row r="1437" s="946" customFormat="1" x14ac:dyDescent="0.3"/>
    <row r="1438" s="946" customFormat="1" x14ac:dyDescent="0.3"/>
    <row r="1439" s="946" customFormat="1" x14ac:dyDescent="0.3"/>
    <row r="1440" s="946" customFormat="1" x14ac:dyDescent="0.3"/>
    <row r="1441" s="946" customFormat="1" x14ac:dyDescent="0.3"/>
    <row r="1442" s="946" customFormat="1" x14ac:dyDescent="0.3"/>
    <row r="1443" s="946" customFormat="1" x14ac:dyDescent="0.3"/>
    <row r="1444" s="946" customFormat="1" x14ac:dyDescent="0.3"/>
    <row r="1445" s="946" customFormat="1" x14ac:dyDescent="0.3"/>
    <row r="1446" s="946" customFormat="1" x14ac:dyDescent="0.3"/>
    <row r="1447" s="946" customFormat="1" x14ac:dyDescent="0.3"/>
    <row r="1448" s="946" customFormat="1" x14ac:dyDescent="0.3"/>
    <row r="1449" s="946" customFormat="1" x14ac:dyDescent="0.3"/>
    <row r="1450" s="946" customFormat="1" x14ac:dyDescent="0.3"/>
    <row r="1451" s="946" customFormat="1" x14ac:dyDescent="0.3"/>
    <row r="1452" s="946" customFormat="1" x14ac:dyDescent="0.3"/>
    <row r="1453" s="946" customFormat="1" x14ac:dyDescent="0.3"/>
    <row r="1454" s="946" customFormat="1" x14ac:dyDescent="0.3"/>
    <row r="1455" s="946" customFormat="1" x14ac:dyDescent="0.3"/>
    <row r="1456" s="946" customFormat="1" x14ac:dyDescent="0.3"/>
    <row r="1457" s="946" customFormat="1" x14ac:dyDescent="0.3"/>
    <row r="1458" s="946" customFormat="1" x14ac:dyDescent="0.3"/>
    <row r="1459" s="946" customFormat="1" x14ac:dyDescent="0.3"/>
    <row r="1460" s="946" customFormat="1" x14ac:dyDescent="0.3"/>
    <row r="1461" s="946" customFormat="1" x14ac:dyDescent="0.3"/>
    <row r="1462" s="946" customFormat="1" x14ac:dyDescent="0.3"/>
    <row r="1463" s="946" customFormat="1" x14ac:dyDescent="0.3"/>
    <row r="1464" s="946" customFormat="1" x14ac:dyDescent="0.3"/>
    <row r="1465" s="946" customFormat="1" x14ac:dyDescent="0.3"/>
    <row r="1466" s="946" customFormat="1" x14ac:dyDescent="0.3"/>
    <row r="1467" s="946" customFormat="1" x14ac:dyDescent="0.3"/>
    <row r="1468" s="946" customFormat="1" x14ac:dyDescent="0.3"/>
    <row r="1469" s="946" customFormat="1" x14ac:dyDescent="0.3"/>
    <row r="1470" s="946" customFormat="1" x14ac:dyDescent="0.3"/>
    <row r="1471" s="946" customFormat="1" x14ac:dyDescent="0.3"/>
    <row r="1472" s="946" customFormat="1" x14ac:dyDescent="0.3"/>
    <row r="1473" s="946" customFormat="1" x14ac:dyDescent="0.3"/>
    <row r="1474" s="946" customFormat="1" x14ac:dyDescent="0.3"/>
    <row r="1475" s="946" customFormat="1" x14ac:dyDescent="0.3"/>
    <row r="1476" s="946" customFormat="1" x14ac:dyDescent="0.3"/>
    <row r="1477" s="946" customFormat="1" x14ac:dyDescent="0.3"/>
    <row r="1478" s="946" customFormat="1" x14ac:dyDescent="0.3"/>
    <row r="1479" s="946" customFormat="1" x14ac:dyDescent="0.3"/>
    <row r="1480" s="946" customFormat="1" x14ac:dyDescent="0.3"/>
    <row r="1481" s="946" customFormat="1" x14ac:dyDescent="0.3"/>
    <row r="1482" s="946" customFormat="1" x14ac:dyDescent="0.3"/>
    <row r="1483" s="946" customFormat="1" x14ac:dyDescent="0.3"/>
    <row r="1484" s="946" customFormat="1" x14ac:dyDescent="0.3"/>
    <row r="1485" s="946" customFormat="1" x14ac:dyDescent="0.3"/>
    <row r="1486" s="946" customFormat="1" x14ac:dyDescent="0.3"/>
    <row r="1487" s="946" customFormat="1" x14ac:dyDescent="0.3"/>
    <row r="1488" s="946" customFormat="1" x14ac:dyDescent="0.3"/>
    <row r="1489" s="946" customFormat="1" x14ac:dyDescent="0.3"/>
    <row r="1490" s="946" customFormat="1" x14ac:dyDescent="0.3"/>
    <row r="1491" s="946" customFormat="1" x14ac:dyDescent="0.3"/>
    <row r="1492" s="946" customFormat="1" x14ac:dyDescent="0.3"/>
    <row r="1493" s="946" customFormat="1" x14ac:dyDescent="0.3"/>
    <row r="1494" s="946" customFormat="1" x14ac:dyDescent="0.3"/>
    <row r="1495" s="946" customFormat="1" x14ac:dyDescent="0.3"/>
    <row r="1496" s="946" customFormat="1" x14ac:dyDescent="0.3"/>
    <row r="1497" s="946" customFormat="1" x14ac:dyDescent="0.3"/>
    <row r="1498" s="946" customFormat="1" x14ac:dyDescent="0.3"/>
    <row r="1499" s="946" customFormat="1" x14ac:dyDescent="0.3"/>
    <row r="1500" s="946" customFormat="1" x14ac:dyDescent="0.3"/>
    <row r="1501" s="946" customFormat="1" x14ac:dyDescent="0.3"/>
    <row r="1502" s="946" customFormat="1" x14ac:dyDescent="0.3"/>
    <row r="1503" s="946" customFormat="1" x14ac:dyDescent="0.3"/>
    <row r="1504" s="946" customFormat="1" x14ac:dyDescent="0.3"/>
    <row r="1505" s="946" customFormat="1" x14ac:dyDescent="0.3"/>
    <row r="1506" s="946" customFormat="1" x14ac:dyDescent="0.3"/>
    <row r="1507" s="946" customFormat="1" x14ac:dyDescent="0.3"/>
    <row r="1508" s="946" customFormat="1" x14ac:dyDescent="0.3"/>
    <row r="1509" s="946" customFormat="1" x14ac:dyDescent="0.3"/>
    <row r="1510" s="946" customFormat="1" x14ac:dyDescent="0.3"/>
    <row r="1511" s="946" customFormat="1" x14ac:dyDescent="0.3"/>
    <row r="1512" s="946" customFormat="1" x14ac:dyDescent="0.3"/>
    <row r="1513" s="946" customFormat="1" x14ac:dyDescent="0.3"/>
    <row r="1514" s="946" customFormat="1" x14ac:dyDescent="0.3"/>
    <row r="1515" s="946" customFormat="1" x14ac:dyDescent="0.3"/>
    <row r="1516" s="946" customFormat="1" x14ac:dyDescent="0.3"/>
    <row r="1517" s="946" customFormat="1" x14ac:dyDescent="0.3"/>
    <row r="1518" s="946" customFormat="1" x14ac:dyDescent="0.3"/>
    <row r="1519" s="946" customFormat="1" x14ac:dyDescent="0.3"/>
    <row r="1520" s="946" customFormat="1" x14ac:dyDescent="0.3"/>
    <row r="1521" s="946" customFormat="1" x14ac:dyDescent="0.3"/>
    <row r="1522" s="946" customFormat="1" x14ac:dyDescent="0.3"/>
    <row r="1523" s="946" customFormat="1" x14ac:dyDescent="0.3"/>
    <row r="1524" s="946" customFormat="1" x14ac:dyDescent="0.3"/>
    <row r="1525" s="946" customFormat="1" x14ac:dyDescent="0.3"/>
    <row r="1526" s="946" customFormat="1" x14ac:dyDescent="0.3"/>
    <row r="1527" s="946" customFormat="1" x14ac:dyDescent="0.3"/>
    <row r="1528" s="946" customFormat="1" x14ac:dyDescent="0.3"/>
    <row r="1529" s="946" customFormat="1" x14ac:dyDescent="0.3"/>
    <row r="1530" s="946" customFormat="1" x14ac:dyDescent="0.3"/>
    <row r="1531" s="946" customFormat="1" x14ac:dyDescent="0.3"/>
    <row r="1532" s="946" customFormat="1" x14ac:dyDescent="0.3"/>
    <row r="1533" s="946" customFormat="1" x14ac:dyDescent="0.3"/>
    <row r="1534" s="946" customFormat="1" x14ac:dyDescent="0.3"/>
    <row r="1535" s="946" customFormat="1" x14ac:dyDescent="0.3"/>
    <row r="1536" s="946" customFormat="1" x14ac:dyDescent="0.3"/>
    <row r="1537" s="946" customFormat="1" x14ac:dyDescent="0.3"/>
    <row r="1538" s="946" customFormat="1" x14ac:dyDescent="0.3"/>
    <row r="1539" s="946" customFormat="1" x14ac:dyDescent="0.3"/>
    <row r="1540" s="946" customFormat="1" x14ac:dyDescent="0.3"/>
    <row r="1541" s="946" customFormat="1" x14ac:dyDescent="0.3"/>
    <row r="1542" s="946" customFormat="1" x14ac:dyDescent="0.3"/>
    <row r="1543" s="946" customFormat="1" x14ac:dyDescent="0.3"/>
    <row r="1544" s="946" customFormat="1" x14ac:dyDescent="0.3"/>
    <row r="1545" s="946" customFormat="1" x14ac:dyDescent="0.3"/>
    <row r="1546" s="946" customFormat="1" x14ac:dyDescent="0.3"/>
    <row r="1547" s="946" customFormat="1" x14ac:dyDescent="0.3"/>
    <row r="1548" s="946" customFormat="1" x14ac:dyDescent="0.3"/>
    <row r="1549" s="946" customFormat="1" x14ac:dyDescent="0.3"/>
    <row r="1550" s="946" customFormat="1" x14ac:dyDescent="0.3"/>
    <row r="1551" s="946" customFormat="1" x14ac:dyDescent="0.3"/>
    <row r="1552" s="946" customFormat="1" x14ac:dyDescent="0.3"/>
    <row r="1553" s="946" customFormat="1" x14ac:dyDescent="0.3"/>
    <row r="1554" s="946" customFormat="1" x14ac:dyDescent="0.3"/>
    <row r="1555" s="946" customFormat="1" x14ac:dyDescent="0.3"/>
    <row r="1556" s="946" customFormat="1" x14ac:dyDescent="0.3"/>
    <row r="1557" s="946" customFormat="1" x14ac:dyDescent="0.3"/>
    <row r="1558" s="946" customFormat="1" x14ac:dyDescent="0.3"/>
    <row r="1559" s="946" customFormat="1" x14ac:dyDescent="0.3"/>
    <row r="1560" s="946" customFormat="1" x14ac:dyDescent="0.3"/>
    <row r="1561" s="946" customFormat="1" x14ac:dyDescent="0.3"/>
    <row r="1562" s="946" customFormat="1" x14ac:dyDescent="0.3"/>
    <row r="1563" s="946" customFormat="1" x14ac:dyDescent="0.3"/>
    <row r="1564" s="946" customFormat="1" x14ac:dyDescent="0.3"/>
    <row r="1565" s="946" customFormat="1" x14ac:dyDescent="0.3"/>
    <row r="1566" s="946" customFormat="1" x14ac:dyDescent="0.3"/>
    <row r="1567" s="946" customFormat="1" x14ac:dyDescent="0.3"/>
    <row r="1568" s="946" customFormat="1" x14ac:dyDescent="0.3"/>
    <row r="1569" s="946" customFormat="1" x14ac:dyDescent="0.3"/>
    <row r="1570" s="946" customFormat="1" x14ac:dyDescent="0.3"/>
    <row r="1571" s="946" customFormat="1" x14ac:dyDescent="0.3"/>
    <row r="1572" s="946" customFormat="1" x14ac:dyDescent="0.3"/>
    <row r="1573" s="946" customFormat="1" x14ac:dyDescent="0.3"/>
    <row r="1574" s="946" customFormat="1" x14ac:dyDescent="0.3"/>
    <row r="1575" s="946" customFormat="1" x14ac:dyDescent="0.3"/>
    <row r="1576" s="946" customFormat="1" x14ac:dyDescent="0.3"/>
    <row r="1577" s="946" customFormat="1" x14ac:dyDescent="0.3"/>
    <row r="1578" s="946" customFormat="1" x14ac:dyDescent="0.3"/>
    <row r="1579" s="946" customFormat="1" x14ac:dyDescent="0.3"/>
    <row r="1580" s="946" customFormat="1" x14ac:dyDescent="0.3"/>
    <row r="1581" s="946" customFormat="1" x14ac:dyDescent="0.3"/>
    <row r="1582" s="946" customFormat="1" x14ac:dyDescent="0.3"/>
    <row r="1583" s="946" customFormat="1" x14ac:dyDescent="0.3"/>
    <row r="1584" s="946" customFormat="1" x14ac:dyDescent="0.3"/>
    <row r="1585" s="946" customFormat="1" x14ac:dyDescent="0.3"/>
    <row r="1586" s="946" customFormat="1" x14ac:dyDescent="0.3"/>
    <row r="1587" s="946" customFormat="1" x14ac:dyDescent="0.3"/>
    <row r="1588" s="946" customFormat="1" x14ac:dyDescent="0.3"/>
    <row r="1589" s="946" customFormat="1" x14ac:dyDescent="0.3"/>
    <row r="1590" s="946" customFormat="1" x14ac:dyDescent="0.3"/>
    <row r="1591" s="946" customFormat="1" x14ac:dyDescent="0.3"/>
    <row r="1592" s="946" customFormat="1" x14ac:dyDescent="0.3"/>
    <row r="1593" s="946" customFormat="1" x14ac:dyDescent="0.3"/>
    <row r="1594" s="946" customFormat="1" x14ac:dyDescent="0.3"/>
    <row r="1595" s="946" customFormat="1" x14ac:dyDescent="0.3"/>
    <row r="1596" s="946" customFormat="1" x14ac:dyDescent="0.3"/>
    <row r="1597" s="946" customFormat="1" x14ac:dyDescent="0.3"/>
    <row r="1598" s="946" customFormat="1" x14ac:dyDescent="0.3"/>
    <row r="1599" s="946" customFormat="1" x14ac:dyDescent="0.3"/>
    <row r="1600" s="946" customFormat="1" x14ac:dyDescent="0.3"/>
    <row r="1601" s="946" customFormat="1" x14ac:dyDescent="0.3"/>
    <row r="1602" s="946" customFormat="1" x14ac:dyDescent="0.3"/>
    <row r="1603" s="946" customFormat="1" x14ac:dyDescent="0.3"/>
    <row r="1604" s="946" customFormat="1" x14ac:dyDescent="0.3"/>
    <row r="1605" s="946" customFormat="1" x14ac:dyDescent="0.3"/>
    <row r="1606" s="946" customFormat="1" x14ac:dyDescent="0.3"/>
    <row r="1607" s="946" customFormat="1" x14ac:dyDescent="0.3"/>
    <row r="1608" s="946" customFormat="1" x14ac:dyDescent="0.3"/>
    <row r="1609" s="946" customFormat="1" x14ac:dyDescent="0.3"/>
    <row r="1610" s="946" customFormat="1" x14ac:dyDescent="0.3"/>
    <row r="1611" s="946" customFormat="1" x14ac:dyDescent="0.3"/>
    <row r="1612" s="946" customFormat="1" x14ac:dyDescent="0.3"/>
    <row r="1613" s="946" customFormat="1" x14ac:dyDescent="0.3"/>
    <row r="1614" s="946" customFormat="1" x14ac:dyDescent="0.3"/>
    <row r="1615" s="946" customFormat="1" x14ac:dyDescent="0.3"/>
    <row r="1616" s="946" customFormat="1" x14ac:dyDescent="0.3"/>
    <row r="1617" s="946" customFormat="1" x14ac:dyDescent="0.3"/>
    <row r="1618" s="946" customFormat="1" x14ac:dyDescent="0.3"/>
    <row r="1619" s="946" customFormat="1" x14ac:dyDescent="0.3"/>
    <row r="1620" s="946" customFormat="1" x14ac:dyDescent="0.3"/>
    <row r="1621" s="946" customFormat="1" x14ac:dyDescent="0.3"/>
    <row r="1622" s="946" customFormat="1" x14ac:dyDescent="0.3"/>
    <row r="1623" s="946" customFormat="1" x14ac:dyDescent="0.3"/>
    <row r="1624" s="946" customFormat="1" x14ac:dyDescent="0.3"/>
    <row r="1625" s="946" customFormat="1" x14ac:dyDescent="0.3"/>
    <row r="1626" s="946" customFormat="1" x14ac:dyDescent="0.3"/>
    <row r="1627" s="946" customFormat="1" x14ac:dyDescent="0.3"/>
    <row r="1628" s="946" customFormat="1" x14ac:dyDescent="0.3"/>
    <row r="1629" s="946" customFormat="1" x14ac:dyDescent="0.3"/>
    <row r="1630" s="946" customFormat="1" x14ac:dyDescent="0.3"/>
    <row r="1631" s="946" customFormat="1" x14ac:dyDescent="0.3"/>
    <row r="1632" s="946" customFormat="1" x14ac:dyDescent="0.3"/>
    <row r="1633" s="946" customFormat="1" x14ac:dyDescent="0.3"/>
    <row r="1634" s="946" customFormat="1" x14ac:dyDescent="0.3"/>
    <row r="1635" s="946" customFormat="1" x14ac:dyDescent="0.3"/>
    <row r="1636" s="946" customFormat="1" x14ac:dyDescent="0.3"/>
    <row r="1637" s="946" customFormat="1" x14ac:dyDescent="0.3"/>
    <row r="1638" s="946" customFormat="1" x14ac:dyDescent="0.3"/>
    <row r="1639" s="946" customFormat="1" x14ac:dyDescent="0.3"/>
    <row r="1640" s="946" customFormat="1" x14ac:dyDescent="0.3"/>
    <row r="1641" s="946" customFormat="1" x14ac:dyDescent="0.3"/>
    <row r="1642" s="946" customFormat="1" x14ac:dyDescent="0.3"/>
    <row r="1643" s="946" customFormat="1" x14ac:dyDescent="0.3"/>
    <row r="1644" s="946" customFormat="1" x14ac:dyDescent="0.3"/>
    <row r="1645" s="946" customFormat="1" x14ac:dyDescent="0.3"/>
    <row r="1646" s="946" customFormat="1" x14ac:dyDescent="0.3"/>
    <row r="1647" s="946" customFormat="1" x14ac:dyDescent="0.3"/>
    <row r="1648" s="946" customFormat="1" x14ac:dyDescent="0.3"/>
    <row r="1649" s="946" customFormat="1" x14ac:dyDescent="0.3"/>
    <row r="1650" s="946" customFormat="1" x14ac:dyDescent="0.3"/>
    <row r="1651" s="946" customFormat="1" x14ac:dyDescent="0.3"/>
    <row r="1652" s="946" customFormat="1" x14ac:dyDescent="0.3"/>
    <row r="1653" s="946" customFormat="1" x14ac:dyDescent="0.3"/>
    <row r="1654" s="946" customFormat="1" x14ac:dyDescent="0.3"/>
    <row r="1655" s="946" customFormat="1" x14ac:dyDescent="0.3"/>
    <row r="1656" s="946" customFormat="1" x14ac:dyDescent="0.3"/>
    <row r="1657" s="946" customFormat="1" x14ac:dyDescent="0.3"/>
    <row r="1658" s="946" customFormat="1" x14ac:dyDescent="0.3"/>
    <row r="1659" s="946" customFormat="1" x14ac:dyDescent="0.3"/>
    <row r="1660" s="946" customFormat="1" x14ac:dyDescent="0.3"/>
    <row r="1661" s="946" customFormat="1" x14ac:dyDescent="0.3"/>
    <row r="1662" s="946" customFormat="1" x14ac:dyDescent="0.3"/>
    <row r="1663" s="946" customFormat="1" x14ac:dyDescent="0.3"/>
    <row r="1664" s="946" customFormat="1" x14ac:dyDescent="0.3"/>
    <row r="1665" s="946" customFormat="1" x14ac:dyDescent="0.3"/>
    <row r="1666" s="946" customFormat="1" x14ac:dyDescent="0.3"/>
    <row r="1667" s="946" customFormat="1" x14ac:dyDescent="0.3"/>
    <row r="1668" s="946" customFormat="1" x14ac:dyDescent="0.3"/>
    <row r="1669" s="946" customFormat="1" x14ac:dyDescent="0.3"/>
    <row r="1670" s="946" customFormat="1" x14ac:dyDescent="0.3"/>
    <row r="1671" s="946" customFormat="1" x14ac:dyDescent="0.3"/>
    <row r="1672" s="946" customFormat="1" x14ac:dyDescent="0.3"/>
    <row r="1673" s="946" customFormat="1" x14ac:dyDescent="0.3"/>
    <row r="1674" s="946" customFormat="1" x14ac:dyDescent="0.3"/>
    <row r="1675" s="946" customFormat="1" x14ac:dyDescent="0.3"/>
    <row r="1676" s="946" customFormat="1" x14ac:dyDescent="0.3"/>
    <row r="1677" s="946" customFormat="1" x14ac:dyDescent="0.3"/>
    <row r="1678" s="946" customFormat="1" x14ac:dyDescent="0.3"/>
    <row r="1679" s="946" customFormat="1" x14ac:dyDescent="0.3"/>
    <row r="1680" s="946" customFormat="1" x14ac:dyDescent="0.3"/>
    <row r="1681" s="946" customFormat="1" x14ac:dyDescent="0.3"/>
    <row r="1682" s="946" customFormat="1" x14ac:dyDescent="0.3"/>
    <row r="1683" s="946" customFormat="1" x14ac:dyDescent="0.3"/>
    <row r="1684" s="946" customFormat="1" x14ac:dyDescent="0.3"/>
    <row r="1685" s="946" customFormat="1" x14ac:dyDescent="0.3"/>
    <row r="1686" s="946" customFormat="1" x14ac:dyDescent="0.3"/>
    <row r="1687" s="946" customFormat="1" x14ac:dyDescent="0.3"/>
    <row r="1688" s="946" customFormat="1" x14ac:dyDescent="0.3"/>
    <row r="1689" s="946" customFormat="1" x14ac:dyDescent="0.3"/>
    <row r="1690" s="946" customFormat="1" x14ac:dyDescent="0.3"/>
    <row r="1691" s="946" customFormat="1" x14ac:dyDescent="0.3"/>
    <row r="1692" s="946" customFormat="1" x14ac:dyDescent="0.3"/>
    <row r="1693" s="946" customFormat="1" x14ac:dyDescent="0.3"/>
    <row r="1694" s="946" customFormat="1" x14ac:dyDescent="0.3"/>
    <row r="1695" s="946" customFormat="1" x14ac:dyDescent="0.3"/>
    <row r="1696" s="946" customFormat="1" x14ac:dyDescent="0.3"/>
    <row r="1697" s="946" customFormat="1" x14ac:dyDescent="0.3"/>
    <row r="1698" s="946" customFormat="1" x14ac:dyDescent="0.3"/>
    <row r="1699" s="946" customFormat="1" x14ac:dyDescent="0.3"/>
    <row r="1700" s="946" customFormat="1" x14ac:dyDescent="0.3"/>
    <row r="1701" s="946" customFormat="1" x14ac:dyDescent="0.3"/>
    <row r="1702" s="946" customFormat="1" x14ac:dyDescent="0.3"/>
    <row r="1703" s="946" customFormat="1" x14ac:dyDescent="0.3"/>
    <row r="1704" s="946" customFormat="1" x14ac:dyDescent="0.3"/>
    <row r="1705" s="946" customFormat="1" x14ac:dyDescent="0.3"/>
    <row r="1706" s="946" customFormat="1" x14ac:dyDescent="0.3"/>
    <row r="1707" s="946" customFormat="1" x14ac:dyDescent="0.3"/>
    <row r="1708" s="946" customFormat="1" x14ac:dyDescent="0.3"/>
    <row r="1709" s="946" customFormat="1" x14ac:dyDescent="0.3"/>
    <row r="1710" s="946" customFormat="1" x14ac:dyDescent="0.3"/>
    <row r="1711" s="946" customFormat="1" x14ac:dyDescent="0.3"/>
    <row r="1712" s="946" customFormat="1" x14ac:dyDescent="0.3"/>
    <row r="1713" s="946" customFormat="1" x14ac:dyDescent="0.3"/>
    <row r="1714" s="946" customFormat="1" x14ac:dyDescent="0.3"/>
    <row r="1715" s="946" customFormat="1" x14ac:dyDescent="0.3"/>
    <row r="1716" s="946" customFormat="1" x14ac:dyDescent="0.3"/>
    <row r="1717" s="946" customFormat="1" x14ac:dyDescent="0.3"/>
    <row r="1718" s="946" customFormat="1" x14ac:dyDescent="0.3"/>
    <row r="1719" s="946" customFormat="1" x14ac:dyDescent="0.3"/>
    <row r="1720" s="946" customFormat="1" x14ac:dyDescent="0.3"/>
    <row r="1721" s="946" customFormat="1" x14ac:dyDescent="0.3"/>
    <row r="1722" s="946" customFormat="1" x14ac:dyDescent="0.3"/>
    <row r="1723" s="946" customFormat="1" x14ac:dyDescent="0.3"/>
    <row r="1724" s="946" customFormat="1" x14ac:dyDescent="0.3"/>
    <row r="1725" s="946" customFormat="1" x14ac:dyDescent="0.3"/>
    <row r="1726" s="946" customFormat="1" x14ac:dyDescent="0.3"/>
    <row r="1727" s="946" customFormat="1" x14ac:dyDescent="0.3"/>
    <row r="1728" s="946" customFormat="1" x14ac:dyDescent="0.3"/>
    <row r="1729" s="946" customFormat="1" x14ac:dyDescent="0.3"/>
    <row r="1730" s="946" customFormat="1" x14ac:dyDescent="0.3"/>
    <row r="1731" s="946" customFormat="1" x14ac:dyDescent="0.3"/>
    <row r="1732" s="946" customFormat="1" x14ac:dyDescent="0.3"/>
    <row r="1733" s="946" customFormat="1" x14ac:dyDescent="0.3"/>
    <row r="1734" s="946" customFormat="1" x14ac:dyDescent="0.3"/>
    <row r="1735" s="946" customFormat="1" x14ac:dyDescent="0.3"/>
    <row r="1736" s="946" customFormat="1" x14ac:dyDescent="0.3"/>
    <row r="1737" s="946" customFormat="1" x14ac:dyDescent="0.3"/>
    <row r="1738" s="946" customFormat="1" x14ac:dyDescent="0.3"/>
    <row r="1739" s="946" customFormat="1" x14ac:dyDescent="0.3"/>
    <row r="1740" s="946" customFormat="1" x14ac:dyDescent="0.3"/>
    <row r="1741" s="946" customFormat="1" x14ac:dyDescent="0.3"/>
    <row r="1742" s="946" customFormat="1" x14ac:dyDescent="0.3"/>
    <row r="1743" s="946" customFormat="1" x14ac:dyDescent="0.3"/>
    <row r="1744" s="946" customFormat="1" x14ac:dyDescent="0.3"/>
    <row r="1745" s="946" customFormat="1" x14ac:dyDescent="0.3"/>
    <row r="1746" s="946" customFormat="1" x14ac:dyDescent="0.3"/>
    <row r="1747" s="946" customFormat="1" x14ac:dyDescent="0.3"/>
    <row r="1748" s="946" customFormat="1" x14ac:dyDescent="0.3"/>
    <row r="1749" s="946" customFormat="1" x14ac:dyDescent="0.3"/>
    <row r="1750" s="946" customFormat="1" x14ac:dyDescent="0.3"/>
    <row r="1751" s="946" customFormat="1" x14ac:dyDescent="0.3"/>
    <row r="1752" s="946" customFormat="1" x14ac:dyDescent="0.3"/>
    <row r="1753" s="946" customFormat="1" x14ac:dyDescent="0.3"/>
    <row r="1754" s="946" customFormat="1" x14ac:dyDescent="0.3"/>
    <row r="1755" s="946" customFormat="1" x14ac:dyDescent="0.3"/>
    <row r="1756" s="946" customFormat="1" x14ac:dyDescent="0.3"/>
    <row r="1757" s="946" customFormat="1" x14ac:dyDescent="0.3"/>
    <row r="1758" s="946" customFormat="1" x14ac:dyDescent="0.3"/>
    <row r="1759" s="946" customFormat="1" x14ac:dyDescent="0.3"/>
    <row r="1760" s="946" customFormat="1" x14ac:dyDescent="0.3"/>
    <row r="1761" s="946" customFormat="1" x14ac:dyDescent="0.3"/>
    <row r="1762" s="946" customFormat="1" x14ac:dyDescent="0.3"/>
    <row r="1763" s="946" customFormat="1" x14ac:dyDescent="0.3"/>
    <row r="1764" s="946" customFormat="1" x14ac:dyDescent="0.3"/>
    <row r="1765" s="946" customFormat="1" x14ac:dyDescent="0.3"/>
    <row r="1766" s="946" customFormat="1" x14ac:dyDescent="0.3"/>
    <row r="1767" s="946" customFormat="1" x14ac:dyDescent="0.3"/>
    <row r="1768" s="946" customFormat="1" x14ac:dyDescent="0.3"/>
    <row r="1769" s="946" customFormat="1" x14ac:dyDescent="0.3"/>
    <row r="1770" s="946" customFormat="1" x14ac:dyDescent="0.3"/>
    <row r="1771" s="946" customFormat="1" x14ac:dyDescent="0.3"/>
    <row r="1772" s="946" customFormat="1" x14ac:dyDescent="0.3"/>
    <row r="1773" s="946" customFormat="1" x14ac:dyDescent="0.3"/>
    <row r="1774" s="946" customFormat="1" x14ac:dyDescent="0.3"/>
    <row r="1775" s="946" customFormat="1" x14ac:dyDescent="0.3"/>
    <row r="1776" s="946" customFormat="1" x14ac:dyDescent="0.3"/>
    <row r="1777" s="946" customFormat="1" x14ac:dyDescent="0.3"/>
    <row r="1778" s="946" customFormat="1" x14ac:dyDescent="0.3"/>
    <row r="1779" s="946" customFormat="1" x14ac:dyDescent="0.3"/>
    <row r="1780" s="946" customFormat="1" x14ac:dyDescent="0.3"/>
    <row r="1781" s="946" customFormat="1" x14ac:dyDescent="0.3"/>
    <row r="1782" s="946" customFormat="1" x14ac:dyDescent="0.3"/>
    <row r="1783" s="946" customFormat="1" x14ac:dyDescent="0.3"/>
    <row r="1784" s="946" customFormat="1" x14ac:dyDescent="0.3"/>
    <row r="1785" s="946" customFormat="1" x14ac:dyDescent="0.3"/>
    <row r="1786" s="946" customFormat="1" x14ac:dyDescent="0.3"/>
    <row r="1787" s="946" customFormat="1" x14ac:dyDescent="0.3"/>
    <row r="1788" s="946" customFormat="1" x14ac:dyDescent="0.3"/>
    <row r="1789" s="946" customFormat="1" x14ac:dyDescent="0.3"/>
    <row r="1790" s="946" customFormat="1" x14ac:dyDescent="0.3"/>
    <row r="1791" s="946" customFormat="1" x14ac:dyDescent="0.3"/>
    <row r="1792" s="946" customFormat="1" x14ac:dyDescent="0.3"/>
    <row r="1793" s="946" customFormat="1" x14ac:dyDescent="0.3"/>
    <row r="1794" s="946" customFormat="1" x14ac:dyDescent="0.3"/>
    <row r="1795" s="946" customFormat="1" x14ac:dyDescent="0.3"/>
    <row r="1796" s="946" customFormat="1" x14ac:dyDescent="0.3"/>
    <row r="1797" s="946" customFormat="1" x14ac:dyDescent="0.3"/>
    <row r="1798" s="946" customFormat="1" x14ac:dyDescent="0.3"/>
    <row r="1799" s="946" customFormat="1" x14ac:dyDescent="0.3"/>
    <row r="1800" s="946" customFormat="1" x14ac:dyDescent="0.3"/>
    <row r="1801" s="946" customFormat="1" x14ac:dyDescent="0.3"/>
    <row r="1802" s="946" customFormat="1" x14ac:dyDescent="0.3"/>
    <row r="1803" s="946" customFormat="1" x14ac:dyDescent="0.3"/>
    <row r="1804" s="946" customFormat="1" x14ac:dyDescent="0.3"/>
    <row r="1805" s="946" customFormat="1" x14ac:dyDescent="0.3"/>
    <row r="1806" s="946" customFormat="1" x14ac:dyDescent="0.3"/>
    <row r="1807" s="946" customFormat="1" x14ac:dyDescent="0.3"/>
    <row r="1808" s="946" customFormat="1" x14ac:dyDescent="0.3"/>
    <row r="1809" s="946" customFormat="1" x14ac:dyDescent="0.3"/>
    <row r="1810" s="946" customFormat="1" x14ac:dyDescent="0.3"/>
    <row r="1811" s="946" customFormat="1" x14ac:dyDescent="0.3"/>
    <row r="1812" s="946" customFormat="1" x14ac:dyDescent="0.3"/>
    <row r="1813" s="946" customFormat="1" x14ac:dyDescent="0.3"/>
    <row r="1814" s="946" customFormat="1" x14ac:dyDescent="0.3"/>
    <row r="1815" s="946" customFormat="1" x14ac:dyDescent="0.3"/>
    <row r="1816" s="946" customFormat="1" x14ac:dyDescent="0.3"/>
    <row r="1817" s="946" customFormat="1" x14ac:dyDescent="0.3"/>
    <row r="1818" s="946" customFormat="1" x14ac:dyDescent="0.3"/>
    <row r="1819" s="946" customFormat="1" x14ac:dyDescent="0.3"/>
    <row r="1820" s="946" customFormat="1" x14ac:dyDescent="0.3"/>
    <row r="1821" s="946" customFormat="1" x14ac:dyDescent="0.3"/>
    <row r="1822" s="946" customFormat="1" x14ac:dyDescent="0.3"/>
    <row r="1823" s="946" customFormat="1" x14ac:dyDescent="0.3"/>
    <row r="1824" s="946" customFormat="1" x14ac:dyDescent="0.3"/>
    <row r="1825" s="946" customFormat="1" x14ac:dyDescent="0.3"/>
    <row r="1826" s="946" customFormat="1" x14ac:dyDescent="0.3"/>
    <row r="1827" s="946" customFormat="1" x14ac:dyDescent="0.3"/>
    <row r="1828" s="946" customFormat="1" x14ac:dyDescent="0.3"/>
    <row r="1829" s="946" customFormat="1" x14ac:dyDescent="0.3"/>
    <row r="1830" s="946" customFormat="1" x14ac:dyDescent="0.3"/>
    <row r="1831" s="946" customFormat="1" x14ac:dyDescent="0.3"/>
    <row r="1832" s="946" customFormat="1" x14ac:dyDescent="0.3"/>
    <row r="1833" s="946" customFormat="1" x14ac:dyDescent="0.3"/>
    <row r="1834" s="946" customFormat="1" x14ac:dyDescent="0.3"/>
    <row r="1835" s="946" customFormat="1" x14ac:dyDescent="0.3"/>
    <row r="1836" s="946" customFormat="1" x14ac:dyDescent="0.3"/>
    <row r="1837" s="946" customFormat="1" x14ac:dyDescent="0.3"/>
    <row r="1838" s="946" customFormat="1" x14ac:dyDescent="0.3"/>
    <row r="1839" s="946" customFormat="1" x14ac:dyDescent="0.3"/>
    <row r="1840" s="946" customFormat="1" x14ac:dyDescent="0.3"/>
    <row r="1841" s="946" customFormat="1" x14ac:dyDescent="0.3"/>
    <row r="1842" s="946" customFormat="1" x14ac:dyDescent="0.3"/>
    <row r="1843" s="946" customFormat="1" x14ac:dyDescent="0.3"/>
    <row r="1844" s="946" customFormat="1" x14ac:dyDescent="0.3"/>
    <row r="1845" s="946" customFormat="1" x14ac:dyDescent="0.3"/>
    <row r="1846" s="946" customFormat="1" x14ac:dyDescent="0.3"/>
    <row r="1847" s="946" customFormat="1" x14ac:dyDescent="0.3"/>
    <row r="1848" s="946" customFormat="1" x14ac:dyDescent="0.3"/>
    <row r="1849" s="946" customFormat="1" x14ac:dyDescent="0.3"/>
    <row r="1850" s="946" customFormat="1" x14ac:dyDescent="0.3"/>
    <row r="1851" s="946" customFormat="1" x14ac:dyDescent="0.3"/>
    <row r="1852" s="946" customFormat="1" x14ac:dyDescent="0.3"/>
    <row r="1853" s="946" customFormat="1" x14ac:dyDescent="0.3"/>
    <row r="1854" s="946" customFormat="1" x14ac:dyDescent="0.3"/>
    <row r="1855" s="946" customFormat="1" x14ac:dyDescent="0.3"/>
    <row r="1856" s="946" customFormat="1" x14ac:dyDescent="0.3"/>
    <row r="1857" s="946" customFormat="1" x14ac:dyDescent="0.3"/>
    <row r="1858" s="946" customFormat="1" x14ac:dyDescent="0.3"/>
    <row r="1859" s="946" customFormat="1" x14ac:dyDescent="0.3"/>
    <row r="1860" s="946" customFormat="1" x14ac:dyDescent="0.3"/>
    <row r="1861" s="946" customFormat="1" x14ac:dyDescent="0.3"/>
    <row r="1862" s="946" customFormat="1" x14ac:dyDescent="0.3"/>
    <row r="1863" s="946" customFormat="1" x14ac:dyDescent="0.3"/>
    <row r="1864" s="946" customFormat="1" x14ac:dyDescent="0.3"/>
    <row r="1865" s="946" customFormat="1" x14ac:dyDescent="0.3"/>
    <row r="1866" s="946" customFormat="1" x14ac:dyDescent="0.3"/>
    <row r="1867" s="946" customFormat="1" x14ac:dyDescent="0.3"/>
    <row r="1868" s="946" customFormat="1" x14ac:dyDescent="0.3"/>
    <row r="1869" s="946" customFormat="1" x14ac:dyDescent="0.3"/>
    <row r="1870" s="946" customFormat="1" x14ac:dyDescent="0.3"/>
    <row r="1871" s="946" customFormat="1" x14ac:dyDescent="0.3"/>
    <row r="1872" s="946" customFormat="1" x14ac:dyDescent="0.3"/>
    <row r="1873" s="946" customFormat="1" x14ac:dyDescent="0.3"/>
    <row r="1874" s="946" customFormat="1" x14ac:dyDescent="0.3"/>
    <row r="1875" s="946" customFormat="1" x14ac:dyDescent="0.3"/>
    <row r="1876" s="946" customFormat="1" x14ac:dyDescent="0.3"/>
    <row r="1877" s="946" customFormat="1" x14ac:dyDescent="0.3"/>
    <row r="1878" s="946" customFormat="1" x14ac:dyDescent="0.3"/>
    <row r="1879" s="946" customFormat="1" x14ac:dyDescent="0.3"/>
    <row r="1880" s="946" customFormat="1" x14ac:dyDescent="0.3"/>
    <row r="1881" s="946" customFormat="1" x14ac:dyDescent="0.3"/>
    <row r="1882" s="946" customFormat="1" x14ac:dyDescent="0.3"/>
    <row r="1883" s="946" customFormat="1" x14ac:dyDescent="0.3"/>
    <row r="1884" s="946" customFormat="1" x14ac:dyDescent="0.3"/>
    <row r="1885" s="946" customFormat="1" x14ac:dyDescent="0.3"/>
    <row r="1886" s="946" customFormat="1" x14ac:dyDescent="0.3"/>
    <row r="1887" s="946" customFormat="1" x14ac:dyDescent="0.3"/>
    <row r="1888" s="946" customFormat="1" x14ac:dyDescent="0.3"/>
    <row r="1889" s="946" customFormat="1" x14ac:dyDescent="0.3"/>
    <row r="1890" s="946" customFormat="1" x14ac:dyDescent="0.3"/>
    <row r="1891" s="946" customFormat="1" x14ac:dyDescent="0.3"/>
    <row r="1892" s="946" customFormat="1" x14ac:dyDescent="0.3"/>
    <row r="1893" s="946" customFormat="1" x14ac:dyDescent="0.3"/>
    <row r="1894" s="946" customFormat="1" x14ac:dyDescent="0.3"/>
    <row r="1895" s="946" customFormat="1" x14ac:dyDescent="0.3"/>
    <row r="1896" s="946" customFormat="1" x14ac:dyDescent="0.3"/>
    <row r="1897" s="946" customFormat="1" x14ac:dyDescent="0.3"/>
    <row r="1898" s="946" customFormat="1" x14ac:dyDescent="0.3"/>
    <row r="1899" s="946" customFormat="1" x14ac:dyDescent="0.3"/>
    <row r="1900" s="946" customFormat="1" x14ac:dyDescent="0.3"/>
    <row r="1901" s="946" customFormat="1" x14ac:dyDescent="0.3"/>
    <row r="1902" s="946" customFormat="1" x14ac:dyDescent="0.3"/>
    <row r="1903" s="946" customFormat="1" x14ac:dyDescent="0.3"/>
    <row r="1904" s="946" customFormat="1" x14ac:dyDescent="0.3"/>
    <row r="1905" s="946" customFormat="1" x14ac:dyDescent="0.3"/>
    <row r="1906" s="946" customFormat="1" x14ac:dyDescent="0.3"/>
    <row r="1907" s="946" customFormat="1" x14ac:dyDescent="0.3"/>
    <row r="1908" s="946" customFormat="1" x14ac:dyDescent="0.3"/>
    <row r="1909" s="946" customFormat="1" x14ac:dyDescent="0.3"/>
    <row r="1910" s="946" customFormat="1" x14ac:dyDescent="0.3"/>
    <row r="1911" s="946" customFormat="1" x14ac:dyDescent="0.3"/>
    <row r="1912" s="946" customFormat="1" x14ac:dyDescent="0.3"/>
    <row r="1913" s="946" customFormat="1" x14ac:dyDescent="0.3"/>
    <row r="1914" s="946" customFormat="1" x14ac:dyDescent="0.3"/>
    <row r="1915" s="946" customFormat="1" x14ac:dyDescent="0.3"/>
    <row r="1916" s="946" customFormat="1" x14ac:dyDescent="0.3"/>
    <row r="1917" s="946" customFormat="1" x14ac:dyDescent="0.3"/>
    <row r="1918" s="946" customFormat="1" x14ac:dyDescent="0.3"/>
    <row r="1919" s="946" customFormat="1" x14ac:dyDescent="0.3"/>
    <row r="1920" s="946" customFormat="1" x14ac:dyDescent="0.3"/>
    <row r="1921" s="946" customFormat="1" x14ac:dyDescent="0.3"/>
    <row r="1922" s="946" customFormat="1" x14ac:dyDescent="0.3"/>
    <row r="1923" s="946" customFormat="1" x14ac:dyDescent="0.3"/>
    <row r="1924" s="946" customFormat="1" x14ac:dyDescent="0.3"/>
    <row r="1925" s="946" customFormat="1" x14ac:dyDescent="0.3"/>
    <row r="1926" s="946" customFormat="1" x14ac:dyDescent="0.3"/>
    <row r="1927" s="946" customFormat="1" x14ac:dyDescent="0.3"/>
    <row r="1928" s="946" customFormat="1" x14ac:dyDescent="0.3"/>
    <row r="1929" s="946" customFormat="1" x14ac:dyDescent="0.3"/>
    <row r="1930" s="946" customFormat="1" x14ac:dyDescent="0.3"/>
    <row r="1931" s="946" customFormat="1" x14ac:dyDescent="0.3"/>
    <row r="1932" s="946" customFormat="1" x14ac:dyDescent="0.3"/>
    <row r="1933" s="946" customFormat="1" x14ac:dyDescent="0.3"/>
    <row r="1934" s="946" customFormat="1" x14ac:dyDescent="0.3"/>
    <row r="1935" s="946" customFormat="1" x14ac:dyDescent="0.3"/>
    <row r="1936" s="946" customFormat="1" x14ac:dyDescent="0.3"/>
    <row r="1937" s="946" customFormat="1" x14ac:dyDescent="0.3"/>
    <row r="1938" s="946" customFormat="1" x14ac:dyDescent="0.3"/>
    <row r="1939" s="946" customFormat="1" x14ac:dyDescent="0.3"/>
    <row r="1940" s="946" customFormat="1" x14ac:dyDescent="0.3"/>
    <row r="1941" s="946" customFormat="1" x14ac:dyDescent="0.3"/>
    <row r="1942" s="946" customFormat="1" x14ac:dyDescent="0.3"/>
    <row r="1943" s="946" customFormat="1" x14ac:dyDescent="0.3"/>
    <row r="1944" s="946" customFormat="1" x14ac:dyDescent="0.3"/>
    <row r="1945" s="946" customFormat="1" x14ac:dyDescent="0.3"/>
    <row r="1946" s="946" customFormat="1" x14ac:dyDescent="0.3"/>
    <row r="1947" s="946" customFormat="1" x14ac:dyDescent="0.3"/>
    <row r="1948" s="946" customFormat="1" x14ac:dyDescent="0.3"/>
    <row r="1949" s="946" customFormat="1" x14ac:dyDescent="0.3"/>
    <row r="1950" s="946" customFormat="1" x14ac:dyDescent="0.3"/>
    <row r="1951" s="946" customFormat="1" x14ac:dyDescent="0.3"/>
    <row r="1952" s="946" customFormat="1" x14ac:dyDescent="0.3"/>
    <row r="1953" s="946" customFormat="1" x14ac:dyDescent="0.3"/>
    <row r="1954" s="946" customFormat="1" x14ac:dyDescent="0.3"/>
    <row r="1955" s="946" customFormat="1" x14ac:dyDescent="0.3"/>
    <row r="1956" s="946" customFormat="1" x14ac:dyDescent="0.3"/>
    <row r="1957" s="946" customFormat="1" x14ac:dyDescent="0.3"/>
    <row r="1958" s="946" customFormat="1" x14ac:dyDescent="0.3"/>
    <row r="1959" s="946" customFormat="1" x14ac:dyDescent="0.3"/>
    <row r="1960" s="946" customFormat="1" x14ac:dyDescent="0.3"/>
    <row r="1961" s="946" customFormat="1" x14ac:dyDescent="0.3"/>
    <row r="1962" s="946" customFormat="1" x14ac:dyDescent="0.3"/>
    <row r="1963" s="946" customFormat="1" x14ac:dyDescent="0.3"/>
    <row r="1964" s="946" customFormat="1" x14ac:dyDescent="0.3"/>
    <row r="1965" s="946" customFormat="1" x14ac:dyDescent="0.3"/>
    <row r="1966" s="946" customFormat="1" x14ac:dyDescent="0.3"/>
    <row r="1967" s="946" customFormat="1" x14ac:dyDescent="0.3"/>
    <row r="1968" s="946" customFormat="1" x14ac:dyDescent="0.3"/>
    <row r="1969" s="946" customFormat="1" x14ac:dyDescent="0.3"/>
    <row r="1970" s="946" customFormat="1" x14ac:dyDescent="0.3"/>
    <row r="1971" s="946" customFormat="1" x14ac:dyDescent="0.3"/>
    <row r="1972" s="946" customFormat="1" x14ac:dyDescent="0.3"/>
    <row r="1973" s="946" customFormat="1" x14ac:dyDescent="0.3"/>
    <row r="1974" s="946" customFormat="1" x14ac:dyDescent="0.3"/>
    <row r="1975" s="946" customFormat="1" x14ac:dyDescent="0.3"/>
    <row r="1976" s="946" customFormat="1" x14ac:dyDescent="0.3"/>
    <row r="1977" s="946" customFormat="1" x14ac:dyDescent="0.3"/>
    <row r="1978" s="946" customFormat="1" x14ac:dyDescent="0.3"/>
    <row r="1979" s="946" customFormat="1" x14ac:dyDescent="0.3"/>
    <row r="1980" s="946" customFormat="1" x14ac:dyDescent="0.3"/>
    <row r="1981" s="946" customFormat="1" x14ac:dyDescent="0.3"/>
    <row r="1982" s="946" customFormat="1" x14ac:dyDescent="0.3"/>
    <row r="1983" s="946" customFormat="1" x14ac:dyDescent="0.3"/>
    <row r="1984" s="946" customFormat="1" x14ac:dyDescent="0.3"/>
    <row r="1985" s="946" customFormat="1" x14ac:dyDescent="0.3"/>
    <row r="1986" s="946" customFormat="1" x14ac:dyDescent="0.3"/>
    <row r="1987" s="946" customFormat="1" x14ac:dyDescent="0.3"/>
    <row r="1988" s="946" customFormat="1" x14ac:dyDescent="0.3"/>
    <row r="1989" s="946" customFormat="1" x14ac:dyDescent="0.3"/>
    <row r="1990" s="946" customFormat="1" x14ac:dyDescent="0.3"/>
    <row r="1991" s="946" customFormat="1" x14ac:dyDescent="0.3"/>
    <row r="1992" s="946" customFormat="1" x14ac:dyDescent="0.3"/>
    <row r="1993" s="946" customFormat="1" x14ac:dyDescent="0.3"/>
    <row r="1994" s="946" customFormat="1" x14ac:dyDescent="0.3"/>
    <row r="1995" s="946" customFormat="1" x14ac:dyDescent="0.3"/>
    <row r="1996" s="946" customFormat="1" x14ac:dyDescent="0.3"/>
    <row r="1997" s="946" customFormat="1" x14ac:dyDescent="0.3"/>
    <row r="1998" s="946" customFormat="1" x14ac:dyDescent="0.3"/>
    <row r="1999" s="946" customFormat="1" x14ac:dyDescent="0.3"/>
    <row r="2000" s="946" customFormat="1" x14ac:dyDescent="0.3"/>
    <row r="2001" s="946" customFormat="1" x14ac:dyDescent="0.3"/>
    <row r="2002" s="946" customFormat="1" x14ac:dyDescent="0.3"/>
    <row r="2003" s="946" customFormat="1" x14ac:dyDescent="0.3"/>
    <row r="2004" s="946" customFormat="1" x14ac:dyDescent="0.3"/>
    <row r="2005" s="946" customFormat="1" x14ac:dyDescent="0.3"/>
    <row r="2006" s="946" customFormat="1" x14ac:dyDescent="0.3"/>
    <row r="2007" s="946" customFormat="1" x14ac:dyDescent="0.3"/>
    <row r="2008" s="946" customFormat="1" x14ac:dyDescent="0.3"/>
    <row r="2009" s="946" customFormat="1" x14ac:dyDescent="0.3"/>
    <row r="2010" s="946" customFormat="1" x14ac:dyDescent="0.3"/>
    <row r="2011" s="946" customFormat="1" x14ac:dyDescent="0.3"/>
    <row r="2012" s="946" customFormat="1" x14ac:dyDescent="0.3"/>
    <row r="2013" s="946" customFormat="1" x14ac:dyDescent="0.3"/>
    <row r="2014" s="946" customFormat="1" x14ac:dyDescent="0.3"/>
    <row r="2015" s="946" customFormat="1" x14ac:dyDescent="0.3"/>
    <row r="2016" s="946" customFormat="1" x14ac:dyDescent="0.3"/>
    <row r="2017" s="946" customFormat="1" x14ac:dyDescent="0.3"/>
    <row r="2018" s="946" customFormat="1" x14ac:dyDescent="0.3"/>
    <row r="2019" s="946" customFormat="1" x14ac:dyDescent="0.3"/>
    <row r="2020" s="946" customFormat="1" x14ac:dyDescent="0.3"/>
    <row r="2021" s="946" customFormat="1" x14ac:dyDescent="0.3"/>
    <row r="2022" s="946" customFormat="1" x14ac:dyDescent="0.3"/>
    <row r="2023" s="946" customFormat="1" x14ac:dyDescent="0.3"/>
    <row r="2024" s="946" customFormat="1" x14ac:dyDescent="0.3"/>
    <row r="2025" s="946" customFormat="1" x14ac:dyDescent="0.3"/>
    <row r="2026" s="946" customFormat="1" x14ac:dyDescent="0.3"/>
    <row r="2027" s="946" customFormat="1" x14ac:dyDescent="0.3"/>
    <row r="2028" s="946" customFormat="1" x14ac:dyDescent="0.3"/>
    <row r="2029" s="946" customFormat="1" x14ac:dyDescent="0.3"/>
    <row r="2030" s="946" customFormat="1" x14ac:dyDescent="0.3"/>
    <row r="2031" s="946" customFormat="1" x14ac:dyDescent="0.3"/>
    <row r="2032" s="946" customFormat="1" x14ac:dyDescent="0.3"/>
    <row r="2033" s="946" customFormat="1" x14ac:dyDescent="0.3"/>
    <row r="2034" s="946" customFormat="1" x14ac:dyDescent="0.3"/>
    <row r="2035" s="946" customFormat="1" x14ac:dyDescent="0.3"/>
    <row r="2036" s="946" customFormat="1" x14ac:dyDescent="0.3"/>
    <row r="2037" s="946" customFormat="1" x14ac:dyDescent="0.3"/>
    <row r="2038" s="946" customFormat="1" x14ac:dyDescent="0.3"/>
    <row r="2039" s="946" customFormat="1" x14ac:dyDescent="0.3"/>
    <row r="2040" s="946" customFormat="1" x14ac:dyDescent="0.3"/>
    <row r="2041" s="946" customFormat="1" x14ac:dyDescent="0.3"/>
    <row r="2042" s="946" customFormat="1" x14ac:dyDescent="0.3"/>
    <row r="2043" s="946" customFormat="1" x14ac:dyDescent="0.3"/>
    <row r="2044" s="946" customFormat="1" x14ac:dyDescent="0.3"/>
    <row r="2045" s="946" customFormat="1" x14ac:dyDescent="0.3"/>
    <row r="2046" s="946" customFormat="1" x14ac:dyDescent="0.3"/>
    <row r="2047" s="946" customFormat="1" x14ac:dyDescent="0.3"/>
    <row r="2048" s="946" customFormat="1" x14ac:dyDescent="0.3"/>
    <row r="2049" s="946" customFormat="1" x14ac:dyDescent="0.3"/>
    <row r="2050" s="946" customFormat="1" x14ac:dyDescent="0.3"/>
    <row r="2051" s="946" customFormat="1" x14ac:dyDescent="0.3"/>
    <row r="2052" s="946" customFormat="1" x14ac:dyDescent="0.3"/>
    <row r="2053" s="946" customFormat="1" x14ac:dyDescent="0.3"/>
    <row r="2054" s="946" customFormat="1" x14ac:dyDescent="0.3"/>
    <row r="2055" s="946" customFormat="1" x14ac:dyDescent="0.3"/>
    <row r="2056" s="946" customFormat="1" x14ac:dyDescent="0.3"/>
    <row r="2057" s="946" customFormat="1" x14ac:dyDescent="0.3"/>
    <row r="2058" s="946" customFormat="1" x14ac:dyDescent="0.3"/>
    <row r="2059" s="946" customFormat="1" x14ac:dyDescent="0.3"/>
    <row r="2060" s="946" customFormat="1" x14ac:dyDescent="0.3"/>
    <row r="2061" s="946" customFormat="1" x14ac:dyDescent="0.3"/>
    <row r="2062" s="946" customFormat="1" x14ac:dyDescent="0.3"/>
    <row r="2063" s="946" customFormat="1" x14ac:dyDescent="0.3"/>
    <row r="2064" s="946" customFormat="1" x14ac:dyDescent="0.3"/>
    <row r="2065" s="946" customFormat="1" x14ac:dyDescent="0.3"/>
    <row r="2066" s="946" customFormat="1" x14ac:dyDescent="0.3"/>
    <row r="2067" s="946" customFormat="1" x14ac:dyDescent="0.3"/>
    <row r="2068" s="946" customFormat="1" x14ac:dyDescent="0.3"/>
    <row r="2069" s="946" customFormat="1" x14ac:dyDescent="0.3"/>
    <row r="2070" s="946" customFormat="1" x14ac:dyDescent="0.3"/>
    <row r="2071" s="946" customFormat="1" x14ac:dyDescent="0.3"/>
    <row r="2072" s="946" customFormat="1" x14ac:dyDescent="0.3"/>
    <row r="2073" s="946" customFormat="1" x14ac:dyDescent="0.3"/>
    <row r="2074" s="946" customFormat="1" x14ac:dyDescent="0.3"/>
    <row r="2075" s="946" customFormat="1" x14ac:dyDescent="0.3"/>
    <row r="2076" s="946" customFormat="1" x14ac:dyDescent="0.3"/>
    <row r="2077" s="946" customFormat="1" x14ac:dyDescent="0.3"/>
    <row r="2078" s="946" customFormat="1" x14ac:dyDescent="0.3"/>
    <row r="2079" s="946" customFormat="1" x14ac:dyDescent="0.3"/>
    <row r="2080" s="946" customFormat="1" x14ac:dyDescent="0.3"/>
    <row r="2081" s="946" customFormat="1" x14ac:dyDescent="0.3"/>
    <row r="2082" s="946" customFormat="1" x14ac:dyDescent="0.3"/>
    <row r="2083" s="946" customFormat="1" x14ac:dyDescent="0.3"/>
    <row r="2084" s="946" customFormat="1" x14ac:dyDescent="0.3"/>
    <row r="2085" s="946" customFormat="1" x14ac:dyDescent="0.3"/>
    <row r="2086" s="946" customFormat="1" x14ac:dyDescent="0.3"/>
    <row r="2087" s="946" customFormat="1" x14ac:dyDescent="0.3"/>
    <row r="2088" s="946" customFormat="1" x14ac:dyDescent="0.3"/>
    <row r="2089" s="946" customFormat="1" x14ac:dyDescent="0.3"/>
    <row r="2090" s="946" customFormat="1" x14ac:dyDescent="0.3"/>
    <row r="2091" s="946" customFormat="1" x14ac:dyDescent="0.3"/>
    <row r="2092" s="946" customFormat="1" x14ac:dyDescent="0.3"/>
    <row r="2093" s="946" customFormat="1" x14ac:dyDescent="0.3"/>
    <row r="2094" s="946" customFormat="1" x14ac:dyDescent="0.3"/>
    <row r="2095" s="946" customFormat="1" x14ac:dyDescent="0.3"/>
    <row r="2096" s="946" customFormat="1" x14ac:dyDescent="0.3"/>
    <row r="2097" s="946" customFormat="1" x14ac:dyDescent="0.3"/>
    <row r="2098" s="946" customFormat="1" x14ac:dyDescent="0.3"/>
    <row r="2099" s="946" customFormat="1" x14ac:dyDescent="0.3"/>
    <row r="2100" s="946" customFormat="1" x14ac:dyDescent="0.3"/>
    <row r="2101" s="946" customFormat="1" x14ac:dyDescent="0.3"/>
    <row r="2102" s="946" customFormat="1" x14ac:dyDescent="0.3"/>
    <row r="2103" s="946" customFormat="1" x14ac:dyDescent="0.3"/>
    <row r="2104" s="946" customFormat="1" x14ac:dyDescent="0.3"/>
    <row r="2105" s="946" customFormat="1" x14ac:dyDescent="0.3"/>
    <row r="2106" s="946" customFormat="1" x14ac:dyDescent="0.3"/>
    <row r="2107" s="946" customFormat="1" x14ac:dyDescent="0.3"/>
    <row r="2108" s="946" customFormat="1" x14ac:dyDescent="0.3"/>
    <row r="2109" s="946" customFormat="1" x14ac:dyDescent="0.3"/>
    <row r="2110" s="946" customFormat="1" x14ac:dyDescent="0.3"/>
    <row r="2111" s="946" customFormat="1" x14ac:dyDescent="0.3"/>
    <row r="2112" s="946" customFormat="1" x14ac:dyDescent="0.3"/>
    <row r="2113" s="946" customFormat="1" x14ac:dyDescent="0.3"/>
    <row r="2114" s="946" customFormat="1" x14ac:dyDescent="0.3"/>
    <row r="2115" s="946" customFormat="1" x14ac:dyDescent="0.3"/>
    <row r="2116" s="946" customFormat="1" x14ac:dyDescent="0.3"/>
    <row r="2117" s="946" customFormat="1" x14ac:dyDescent="0.3"/>
    <row r="2118" s="946" customFormat="1" x14ac:dyDescent="0.3"/>
    <row r="2119" s="946" customFormat="1" x14ac:dyDescent="0.3"/>
    <row r="2120" s="946" customFormat="1" x14ac:dyDescent="0.3"/>
    <row r="2121" s="946" customFormat="1" x14ac:dyDescent="0.3"/>
    <row r="2122" s="946" customFormat="1" x14ac:dyDescent="0.3"/>
    <row r="2123" s="946" customFormat="1" x14ac:dyDescent="0.3"/>
    <row r="2124" s="946" customFormat="1" x14ac:dyDescent="0.3"/>
    <row r="2125" s="946" customFormat="1" x14ac:dyDescent="0.3"/>
    <row r="2126" s="946" customFormat="1" x14ac:dyDescent="0.3"/>
    <row r="2127" s="946" customFormat="1" x14ac:dyDescent="0.3"/>
    <row r="2128" s="946" customFormat="1" x14ac:dyDescent="0.3"/>
    <row r="2129" s="946" customFormat="1" x14ac:dyDescent="0.3"/>
    <row r="2130" s="946" customFormat="1" x14ac:dyDescent="0.3"/>
    <row r="2131" s="946" customFormat="1" x14ac:dyDescent="0.3"/>
    <row r="2132" s="946" customFormat="1" x14ac:dyDescent="0.3"/>
    <row r="2133" s="946" customFormat="1" x14ac:dyDescent="0.3"/>
    <row r="2134" s="946" customFormat="1" x14ac:dyDescent="0.3"/>
    <row r="2135" s="946" customFormat="1" x14ac:dyDescent="0.3"/>
    <row r="2136" s="946" customFormat="1" x14ac:dyDescent="0.3"/>
    <row r="2137" s="946" customFormat="1" x14ac:dyDescent="0.3"/>
    <row r="2138" s="946" customFormat="1" x14ac:dyDescent="0.3"/>
    <row r="2139" s="946" customFormat="1" x14ac:dyDescent="0.3"/>
    <row r="2140" s="946" customFormat="1" x14ac:dyDescent="0.3"/>
    <row r="2141" s="946" customFormat="1" x14ac:dyDescent="0.3"/>
    <row r="2142" s="946" customFormat="1" x14ac:dyDescent="0.3"/>
    <row r="2143" s="946" customFormat="1" x14ac:dyDescent="0.3"/>
    <row r="2144" s="946" customFormat="1" x14ac:dyDescent="0.3"/>
    <row r="2145" s="946" customFormat="1" x14ac:dyDescent="0.3"/>
    <row r="2146" s="946" customFormat="1" x14ac:dyDescent="0.3"/>
    <row r="2147" s="946" customFormat="1" x14ac:dyDescent="0.3"/>
    <row r="2148" s="946" customFormat="1" x14ac:dyDescent="0.3"/>
    <row r="2149" s="946" customFormat="1" x14ac:dyDescent="0.3"/>
    <row r="2150" s="946" customFormat="1" x14ac:dyDescent="0.3"/>
    <row r="2151" s="946" customFormat="1" x14ac:dyDescent="0.3"/>
    <row r="2152" s="946" customFormat="1" x14ac:dyDescent="0.3"/>
    <row r="2153" s="946" customFormat="1" x14ac:dyDescent="0.3"/>
    <row r="2154" s="946" customFormat="1" x14ac:dyDescent="0.3"/>
    <row r="2155" s="946" customFormat="1" x14ac:dyDescent="0.3"/>
    <row r="2156" s="946" customFormat="1" x14ac:dyDescent="0.3"/>
    <row r="2157" s="946" customFormat="1" x14ac:dyDescent="0.3"/>
    <row r="2158" s="946" customFormat="1" x14ac:dyDescent="0.3"/>
    <row r="2159" s="946" customFormat="1" x14ac:dyDescent="0.3"/>
    <row r="2160" s="946" customFormat="1" x14ac:dyDescent="0.3"/>
    <row r="2161" s="946" customFormat="1" x14ac:dyDescent="0.3"/>
    <row r="2162" s="946" customFormat="1" x14ac:dyDescent="0.3"/>
    <row r="2163" s="946" customFormat="1" x14ac:dyDescent="0.3"/>
    <row r="2164" s="946" customFormat="1" x14ac:dyDescent="0.3"/>
    <row r="2165" s="946" customFormat="1" x14ac:dyDescent="0.3"/>
    <row r="2166" s="946" customFormat="1" x14ac:dyDescent="0.3"/>
    <row r="2167" s="946" customFormat="1" x14ac:dyDescent="0.3"/>
    <row r="2168" s="946" customFormat="1" x14ac:dyDescent="0.3"/>
    <row r="2169" s="946" customFormat="1" x14ac:dyDescent="0.3"/>
    <row r="2170" s="946" customFormat="1" x14ac:dyDescent="0.3"/>
    <row r="2171" s="946" customFormat="1" x14ac:dyDescent="0.3"/>
    <row r="2172" s="946" customFormat="1" x14ac:dyDescent="0.3"/>
    <row r="2173" s="946" customFormat="1" x14ac:dyDescent="0.3"/>
    <row r="2174" s="946" customFormat="1" x14ac:dyDescent="0.3"/>
    <row r="2175" s="946" customFormat="1" x14ac:dyDescent="0.3"/>
    <row r="2176" s="946" customFormat="1" x14ac:dyDescent="0.3"/>
    <row r="2177" s="946" customFormat="1" x14ac:dyDescent="0.3"/>
    <row r="2178" s="946" customFormat="1" x14ac:dyDescent="0.3"/>
    <row r="2179" s="946" customFormat="1" x14ac:dyDescent="0.3"/>
    <row r="2180" s="946" customFormat="1" x14ac:dyDescent="0.3"/>
    <row r="2181" s="946" customFormat="1" x14ac:dyDescent="0.3"/>
    <row r="2182" s="946" customFormat="1" x14ac:dyDescent="0.3"/>
    <row r="2183" s="946" customFormat="1" x14ac:dyDescent="0.3"/>
    <row r="2184" s="946" customFormat="1" x14ac:dyDescent="0.3"/>
    <row r="2185" s="946" customFormat="1" x14ac:dyDescent="0.3"/>
    <row r="2186" s="946" customFormat="1" x14ac:dyDescent="0.3"/>
    <row r="2187" s="946" customFormat="1" x14ac:dyDescent="0.3"/>
    <row r="2188" s="946" customFormat="1" x14ac:dyDescent="0.3"/>
    <row r="2189" s="946" customFormat="1" x14ac:dyDescent="0.3"/>
    <row r="2190" s="946" customFormat="1" x14ac:dyDescent="0.3"/>
    <row r="2191" s="946" customFormat="1" x14ac:dyDescent="0.3"/>
    <row r="2192" s="946" customFormat="1" x14ac:dyDescent="0.3"/>
    <row r="2193" s="946" customFormat="1" x14ac:dyDescent="0.3"/>
    <row r="2194" s="946" customFormat="1" x14ac:dyDescent="0.3"/>
    <row r="2195" s="946" customFormat="1" x14ac:dyDescent="0.3"/>
    <row r="2196" s="946" customFormat="1" x14ac:dyDescent="0.3"/>
    <row r="2197" s="946" customFormat="1" x14ac:dyDescent="0.3"/>
    <row r="2198" s="946" customFormat="1" x14ac:dyDescent="0.3"/>
    <row r="2199" s="946" customFormat="1" x14ac:dyDescent="0.3"/>
    <row r="2200" s="946" customFormat="1" x14ac:dyDescent="0.3"/>
    <row r="2201" s="946" customFormat="1" x14ac:dyDescent="0.3"/>
    <row r="2202" s="946" customFormat="1" x14ac:dyDescent="0.3"/>
    <row r="2203" s="946" customFormat="1" x14ac:dyDescent="0.3"/>
    <row r="2204" s="946" customFormat="1" x14ac:dyDescent="0.3"/>
    <row r="2205" s="946" customFormat="1" x14ac:dyDescent="0.3"/>
    <row r="2206" s="946" customFormat="1" x14ac:dyDescent="0.3"/>
    <row r="2207" s="946" customFormat="1" x14ac:dyDescent="0.3"/>
    <row r="2208" s="946" customFormat="1" x14ac:dyDescent="0.3"/>
    <row r="2209" s="946" customFormat="1" x14ac:dyDescent="0.3"/>
    <row r="2210" s="946" customFormat="1" x14ac:dyDescent="0.3"/>
    <row r="2211" s="946" customFormat="1" x14ac:dyDescent="0.3"/>
    <row r="2212" s="946" customFormat="1" x14ac:dyDescent="0.3"/>
    <row r="2213" s="946" customFormat="1" x14ac:dyDescent="0.3"/>
    <row r="2214" s="946" customFormat="1" x14ac:dyDescent="0.3"/>
    <row r="2215" s="946" customFormat="1" x14ac:dyDescent="0.3"/>
    <row r="2216" s="946" customFormat="1" x14ac:dyDescent="0.3"/>
    <row r="2217" s="946" customFormat="1" x14ac:dyDescent="0.3"/>
    <row r="2218" s="946" customFormat="1" x14ac:dyDescent="0.3"/>
    <row r="2219" s="946" customFormat="1" x14ac:dyDescent="0.3"/>
    <row r="2220" s="946" customFormat="1" x14ac:dyDescent="0.3"/>
    <row r="2221" s="946" customFormat="1" x14ac:dyDescent="0.3"/>
    <row r="2222" s="946" customFormat="1" x14ac:dyDescent="0.3"/>
    <row r="2223" s="946" customFormat="1" x14ac:dyDescent="0.3"/>
    <row r="2224" s="946" customFormat="1" x14ac:dyDescent="0.3"/>
    <row r="2225" s="946" customFormat="1" x14ac:dyDescent="0.3"/>
    <row r="2226" s="946" customFormat="1" x14ac:dyDescent="0.3"/>
    <row r="2227" s="946" customFormat="1" x14ac:dyDescent="0.3"/>
    <row r="2228" s="946" customFormat="1" x14ac:dyDescent="0.3"/>
    <row r="2229" s="946" customFormat="1" x14ac:dyDescent="0.3"/>
    <row r="2230" s="946" customFormat="1" x14ac:dyDescent="0.3"/>
    <row r="2231" s="946" customFormat="1" x14ac:dyDescent="0.3"/>
    <row r="2232" s="946" customFormat="1" x14ac:dyDescent="0.3"/>
    <row r="2233" s="946" customFormat="1" x14ac:dyDescent="0.3"/>
    <row r="2234" s="946" customFormat="1" x14ac:dyDescent="0.3"/>
    <row r="2235" s="946" customFormat="1" x14ac:dyDescent="0.3"/>
    <row r="2236" s="946" customFormat="1" x14ac:dyDescent="0.3"/>
    <row r="2237" s="946" customFormat="1" x14ac:dyDescent="0.3"/>
    <row r="2238" s="946" customFormat="1" x14ac:dyDescent="0.3"/>
    <row r="2239" s="946" customFormat="1" x14ac:dyDescent="0.3"/>
    <row r="2240" s="946" customFormat="1" x14ac:dyDescent="0.3"/>
    <row r="2241" s="946" customFormat="1" x14ac:dyDescent="0.3"/>
    <row r="2242" s="946" customFormat="1" x14ac:dyDescent="0.3"/>
    <row r="2243" s="946" customFormat="1" x14ac:dyDescent="0.3"/>
    <row r="2244" s="946" customFormat="1" x14ac:dyDescent="0.3"/>
    <row r="2245" s="946" customFormat="1" x14ac:dyDescent="0.3"/>
    <row r="2246" s="946" customFormat="1" x14ac:dyDescent="0.3"/>
    <row r="2247" s="946" customFormat="1" x14ac:dyDescent="0.3"/>
    <row r="2248" s="946" customFormat="1" x14ac:dyDescent="0.3"/>
    <row r="2249" s="946" customFormat="1" x14ac:dyDescent="0.3"/>
    <row r="2250" s="946" customFormat="1" x14ac:dyDescent="0.3"/>
    <row r="2251" s="946" customFormat="1" x14ac:dyDescent="0.3"/>
    <row r="2252" s="946" customFormat="1" x14ac:dyDescent="0.3"/>
    <row r="2253" s="946" customFormat="1" x14ac:dyDescent="0.3"/>
    <row r="2254" s="946" customFormat="1" x14ac:dyDescent="0.3"/>
    <row r="2255" s="946" customFormat="1" x14ac:dyDescent="0.3"/>
    <row r="2256" s="946" customFormat="1" x14ac:dyDescent="0.3"/>
    <row r="2257" s="946" customFormat="1" x14ac:dyDescent="0.3"/>
    <row r="2258" s="946" customFormat="1" x14ac:dyDescent="0.3"/>
    <row r="2259" s="946" customFormat="1" x14ac:dyDescent="0.3"/>
    <row r="2260" s="946" customFormat="1" x14ac:dyDescent="0.3"/>
    <row r="2261" s="946" customFormat="1" x14ac:dyDescent="0.3"/>
    <row r="2262" s="946" customFormat="1" x14ac:dyDescent="0.3"/>
    <row r="2263" s="946" customFormat="1" x14ac:dyDescent="0.3"/>
    <row r="2264" s="946" customFormat="1" x14ac:dyDescent="0.3"/>
    <row r="2265" s="946" customFormat="1" x14ac:dyDescent="0.3"/>
    <row r="2266" s="946" customFormat="1" x14ac:dyDescent="0.3"/>
    <row r="2267" s="946" customFormat="1" x14ac:dyDescent="0.3"/>
    <row r="2268" s="946" customFormat="1" x14ac:dyDescent="0.3"/>
    <row r="2269" s="946" customFormat="1" x14ac:dyDescent="0.3"/>
    <row r="2270" s="946" customFormat="1" x14ac:dyDescent="0.3"/>
    <row r="2271" s="946" customFormat="1" x14ac:dyDescent="0.3"/>
    <row r="2272" s="946" customFormat="1" x14ac:dyDescent="0.3"/>
    <row r="2273" s="946" customFormat="1" x14ac:dyDescent="0.3"/>
    <row r="2274" s="946" customFormat="1" x14ac:dyDescent="0.3"/>
    <row r="2275" s="946" customFormat="1" x14ac:dyDescent="0.3"/>
    <row r="2276" s="946" customFormat="1" x14ac:dyDescent="0.3"/>
    <row r="2277" s="946" customFormat="1" x14ac:dyDescent="0.3"/>
    <row r="2278" s="946" customFormat="1" x14ac:dyDescent="0.3"/>
    <row r="2279" s="946" customFormat="1" x14ac:dyDescent="0.3"/>
    <row r="2280" s="946" customFormat="1" x14ac:dyDescent="0.3"/>
    <row r="2281" s="946" customFormat="1" x14ac:dyDescent="0.3"/>
    <row r="2282" s="946" customFormat="1" x14ac:dyDescent="0.3"/>
    <row r="2283" s="946" customFormat="1" x14ac:dyDescent="0.3"/>
    <row r="2284" s="946" customFormat="1" x14ac:dyDescent="0.3"/>
    <row r="2285" s="946" customFormat="1" x14ac:dyDescent="0.3"/>
    <row r="2286" s="946" customFormat="1" x14ac:dyDescent="0.3"/>
    <row r="2287" s="946" customFormat="1" x14ac:dyDescent="0.3"/>
    <row r="2288" s="946" customFormat="1" x14ac:dyDescent="0.3"/>
    <row r="2289" s="946" customFormat="1" x14ac:dyDescent="0.3"/>
    <row r="2290" s="946" customFormat="1" x14ac:dyDescent="0.3"/>
    <row r="2291" s="946" customFormat="1" x14ac:dyDescent="0.3"/>
    <row r="2292" s="946" customFormat="1" x14ac:dyDescent="0.3"/>
    <row r="2293" s="946" customFormat="1" x14ac:dyDescent="0.3"/>
    <row r="2294" s="946" customFormat="1" x14ac:dyDescent="0.3"/>
    <row r="2295" s="946" customFormat="1" x14ac:dyDescent="0.3"/>
    <row r="2296" s="946" customFormat="1" x14ac:dyDescent="0.3"/>
    <row r="2297" s="946" customFormat="1" x14ac:dyDescent="0.3"/>
    <row r="2298" s="946" customFormat="1" x14ac:dyDescent="0.3"/>
    <row r="2299" s="946" customFormat="1" x14ac:dyDescent="0.3"/>
    <row r="2300" s="946" customFormat="1" x14ac:dyDescent="0.3"/>
    <row r="2301" s="946" customFormat="1" x14ac:dyDescent="0.3"/>
    <row r="2302" s="946" customFormat="1" x14ac:dyDescent="0.3"/>
    <row r="2303" s="946" customFormat="1" x14ac:dyDescent="0.3"/>
    <row r="2304" s="946" customFormat="1" x14ac:dyDescent="0.3"/>
    <row r="2305" s="946" customFormat="1" x14ac:dyDescent="0.3"/>
    <row r="2306" s="946" customFormat="1" x14ac:dyDescent="0.3"/>
    <row r="2307" s="946" customFormat="1" x14ac:dyDescent="0.3"/>
    <row r="2308" s="946" customFormat="1" x14ac:dyDescent="0.3"/>
    <row r="2309" s="946" customFormat="1" x14ac:dyDescent="0.3"/>
    <row r="2310" s="946" customFormat="1" x14ac:dyDescent="0.3"/>
    <row r="2311" s="946" customFormat="1" x14ac:dyDescent="0.3"/>
    <row r="2312" s="946" customFormat="1" x14ac:dyDescent="0.3"/>
    <row r="2313" s="946" customFormat="1" x14ac:dyDescent="0.3"/>
    <row r="2314" s="946" customFormat="1" x14ac:dyDescent="0.3"/>
    <row r="2315" s="946" customFormat="1" x14ac:dyDescent="0.3"/>
    <row r="2316" s="946" customFormat="1" x14ac:dyDescent="0.3"/>
    <row r="2317" s="946" customFormat="1" x14ac:dyDescent="0.3"/>
    <row r="2318" s="946" customFormat="1" x14ac:dyDescent="0.3"/>
    <row r="2319" s="946" customFormat="1" x14ac:dyDescent="0.3"/>
    <row r="2320" s="946" customFormat="1" x14ac:dyDescent="0.3"/>
    <row r="2321" s="946" customFormat="1" x14ac:dyDescent="0.3"/>
    <row r="2322" s="946" customFormat="1" x14ac:dyDescent="0.3"/>
    <row r="2323" s="946" customFormat="1" x14ac:dyDescent="0.3"/>
    <row r="2324" s="946" customFormat="1" x14ac:dyDescent="0.3"/>
    <row r="2325" s="946" customFormat="1" x14ac:dyDescent="0.3"/>
    <row r="2326" s="946" customFormat="1" x14ac:dyDescent="0.3"/>
    <row r="2327" s="946" customFormat="1" x14ac:dyDescent="0.3"/>
    <row r="2328" s="946" customFormat="1" x14ac:dyDescent="0.3"/>
    <row r="2329" s="946" customFormat="1" x14ac:dyDescent="0.3"/>
    <row r="2330" s="946" customFormat="1" x14ac:dyDescent="0.3"/>
    <row r="2331" s="946" customFormat="1" x14ac:dyDescent="0.3"/>
    <row r="2332" s="946" customFormat="1" x14ac:dyDescent="0.3"/>
    <row r="2333" s="946" customFormat="1" x14ac:dyDescent="0.3"/>
    <row r="2334" s="946" customFormat="1" x14ac:dyDescent="0.3"/>
    <row r="2335" s="946" customFormat="1" x14ac:dyDescent="0.3"/>
    <row r="2336" s="946" customFormat="1" x14ac:dyDescent="0.3"/>
    <row r="2337" s="946" customFormat="1" x14ac:dyDescent="0.3"/>
    <row r="2338" s="946" customFormat="1" x14ac:dyDescent="0.3"/>
    <row r="2339" s="946" customFormat="1" x14ac:dyDescent="0.3"/>
    <row r="2340" s="946" customFormat="1" x14ac:dyDescent="0.3"/>
    <row r="2341" s="946" customFormat="1" x14ac:dyDescent="0.3"/>
    <row r="2342" s="946" customFormat="1" x14ac:dyDescent="0.3"/>
    <row r="2343" s="946" customFormat="1" x14ac:dyDescent="0.3"/>
    <row r="2344" s="946" customFormat="1" x14ac:dyDescent="0.3"/>
    <row r="2345" s="946" customFormat="1" x14ac:dyDescent="0.3"/>
    <row r="2346" s="946" customFormat="1" x14ac:dyDescent="0.3"/>
    <row r="2347" s="946" customFormat="1" x14ac:dyDescent="0.3"/>
    <row r="2348" s="946" customFormat="1" x14ac:dyDescent="0.3"/>
    <row r="2349" s="946" customFormat="1" x14ac:dyDescent="0.3"/>
    <row r="2350" s="946" customFormat="1" x14ac:dyDescent="0.3"/>
    <row r="2351" s="946" customFormat="1" x14ac:dyDescent="0.3"/>
    <row r="2352" s="946" customFormat="1" x14ac:dyDescent="0.3"/>
    <row r="2353" s="946" customFormat="1" x14ac:dyDescent="0.3"/>
    <row r="2354" s="946" customFormat="1" x14ac:dyDescent="0.3"/>
    <row r="2355" s="946" customFormat="1" x14ac:dyDescent="0.3"/>
    <row r="2356" s="946" customFormat="1" x14ac:dyDescent="0.3"/>
    <row r="2357" s="946" customFormat="1" x14ac:dyDescent="0.3"/>
    <row r="2358" s="946" customFormat="1" x14ac:dyDescent="0.3"/>
    <row r="2359" s="946" customFormat="1" x14ac:dyDescent="0.3"/>
    <row r="2360" s="946" customFormat="1" x14ac:dyDescent="0.3"/>
    <row r="2361" s="946" customFormat="1" x14ac:dyDescent="0.3"/>
    <row r="2362" s="946" customFormat="1" x14ac:dyDescent="0.3"/>
    <row r="2363" s="946" customFormat="1" x14ac:dyDescent="0.3"/>
    <row r="2364" s="946" customFormat="1" x14ac:dyDescent="0.3"/>
    <row r="2365" s="946" customFormat="1" x14ac:dyDescent="0.3"/>
    <row r="2366" s="946" customFormat="1" x14ac:dyDescent="0.3"/>
    <row r="2367" s="946" customFormat="1" x14ac:dyDescent="0.3"/>
    <row r="2368" s="946" customFormat="1" x14ac:dyDescent="0.3"/>
    <row r="2369" s="946" customFormat="1" x14ac:dyDescent="0.3"/>
    <row r="2370" s="946" customFormat="1" x14ac:dyDescent="0.3"/>
    <row r="2371" s="946" customFormat="1" x14ac:dyDescent="0.3"/>
    <row r="2372" s="946" customFormat="1" x14ac:dyDescent="0.3"/>
    <row r="2373" s="946" customFormat="1" x14ac:dyDescent="0.3"/>
    <row r="2374" s="946" customFormat="1" x14ac:dyDescent="0.3"/>
    <row r="2375" s="946" customFormat="1" x14ac:dyDescent="0.3"/>
    <row r="2376" s="946" customFormat="1" x14ac:dyDescent="0.3"/>
    <row r="2377" s="946" customFormat="1" x14ac:dyDescent="0.3"/>
    <row r="2378" s="946" customFormat="1" x14ac:dyDescent="0.3"/>
    <row r="2379" s="946" customFormat="1" x14ac:dyDescent="0.3"/>
    <row r="2380" s="946" customFormat="1" x14ac:dyDescent="0.3"/>
    <row r="2381" s="946" customFormat="1" x14ac:dyDescent="0.3"/>
    <row r="2382" s="946" customFormat="1" x14ac:dyDescent="0.3"/>
    <row r="2383" s="946" customFormat="1" x14ac:dyDescent="0.3"/>
    <row r="2384" s="946" customFormat="1" x14ac:dyDescent="0.3"/>
    <row r="2385" s="946" customFormat="1" x14ac:dyDescent="0.3"/>
    <row r="2386" s="946" customFormat="1" x14ac:dyDescent="0.3"/>
    <row r="2387" s="946" customFormat="1" x14ac:dyDescent="0.3"/>
    <row r="2388" s="946" customFormat="1" x14ac:dyDescent="0.3"/>
    <row r="2389" s="946" customFormat="1" x14ac:dyDescent="0.3"/>
    <row r="2390" s="946" customFormat="1" x14ac:dyDescent="0.3"/>
    <row r="2391" s="946" customFormat="1" x14ac:dyDescent="0.3"/>
    <row r="2392" s="946" customFormat="1" x14ac:dyDescent="0.3"/>
    <row r="2393" s="946" customFormat="1" x14ac:dyDescent="0.3"/>
    <row r="2394" s="946" customFormat="1" x14ac:dyDescent="0.3"/>
    <row r="2395" s="946" customFormat="1" x14ac:dyDescent="0.3"/>
    <row r="2396" s="946" customFormat="1" x14ac:dyDescent="0.3"/>
    <row r="2397" s="946" customFormat="1" x14ac:dyDescent="0.3"/>
    <row r="2398" s="946" customFormat="1" x14ac:dyDescent="0.3"/>
    <row r="2399" s="946" customFormat="1" x14ac:dyDescent="0.3"/>
    <row r="2400" s="946" customFormat="1" x14ac:dyDescent="0.3"/>
    <row r="2401" s="946" customFormat="1" x14ac:dyDescent="0.3"/>
    <row r="2402" s="946" customFormat="1" x14ac:dyDescent="0.3"/>
    <row r="2403" s="946" customFormat="1" x14ac:dyDescent="0.3"/>
    <row r="2404" s="946" customFormat="1" x14ac:dyDescent="0.3"/>
    <row r="2405" s="946" customFormat="1" x14ac:dyDescent="0.3"/>
    <row r="2406" s="946" customFormat="1" x14ac:dyDescent="0.3"/>
    <row r="2407" s="946" customFormat="1" x14ac:dyDescent="0.3"/>
    <row r="2408" s="946" customFormat="1" x14ac:dyDescent="0.3"/>
    <row r="2409" s="946" customFormat="1" x14ac:dyDescent="0.3"/>
    <row r="2410" s="946" customFormat="1" x14ac:dyDescent="0.3"/>
    <row r="2411" s="946" customFormat="1" x14ac:dyDescent="0.3"/>
    <row r="2412" s="946" customFormat="1" x14ac:dyDescent="0.3"/>
    <row r="2413" s="946" customFormat="1" x14ac:dyDescent="0.3"/>
    <row r="2414" s="946" customFormat="1" x14ac:dyDescent="0.3"/>
    <row r="2415" s="946" customFormat="1" x14ac:dyDescent="0.3"/>
    <row r="2416" s="946" customFormat="1" x14ac:dyDescent="0.3"/>
    <row r="2417" s="946" customFormat="1" x14ac:dyDescent="0.3"/>
    <row r="2418" s="946" customFormat="1" x14ac:dyDescent="0.3"/>
    <row r="2419" s="946" customFormat="1" x14ac:dyDescent="0.3"/>
    <row r="2420" s="946" customFormat="1" x14ac:dyDescent="0.3"/>
    <row r="2421" s="946" customFormat="1" x14ac:dyDescent="0.3"/>
    <row r="2422" s="946" customFormat="1" x14ac:dyDescent="0.3"/>
    <row r="2423" s="946" customFormat="1" x14ac:dyDescent="0.3"/>
    <row r="2424" s="946" customFormat="1" x14ac:dyDescent="0.3"/>
    <row r="2425" s="946" customFormat="1" x14ac:dyDescent="0.3"/>
    <row r="2426" s="946" customFormat="1" x14ac:dyDescent="0.3"/>
    <row r="2427" s="946" customFormat="1" x14ac:dyDescent="0.3"/>
    <row r="2428" s="946" customFormat="1" x14ac:dyDescent="0.3"/>
    <row r="2429" s="946" customFormat="1" x14ac:dyDescent="0.3"/>
    <row r="2430" s="946" customFormat="1" x14ac:dyDescent="0.3"/>
    <row r="2431" s="946" customFormat="1" x14ac:dyDescent="0.3"/>
    <row r="2432" s="946" customFormat="1" x14ac:dyDescent="0.3"/>
    <row r="2433" s="946" customFormat="1" x14ac:dyDescent="0.3"/>
    <row r="2434" s="946" customFormat="1" x14ac:dyDescent="0.3"/>
    <row r="2435" s="946" customFormat="1" x14ac:dyDescent="0.3"/>
    <row r="2436" s="946" customFormat="1" x14ac:dyDescent="0.3"/>
    <row r="2437" s="946" customFormat="1" x14ac:dyDescent="0.3"/>
    <row r="2438" s="946" customFormat="1" x14ac:dyDescent="0.3"/>
    <row r="2439" s="946" customFormat="1" x14ac:dyDescent="0.3"/>
    <row r="2440" s="946" customFormat="1" x14ac:dyDescent="0.3"/>
    <row r="2441" s="946" customFormat="1" x14ac:dyDescent="0.3"/>
    <row r="2442" s="946" customFormat="1" x14ac:dyDescent="0.3"/>
    <row r="2443" s="946" customFormat="1" x14ac:dyDescent="0.3"/>
    <row r="2444" s="946" customFormat="1" x14ac:dyDescent="0.3"/>
    <row r="2445" s="946" customFormat="1" x14ac:dyDescent="0.3"/>
    <row r="2446" s="946" customFormat="1" x14ac:dyDescent="0.3"/>
    <row r="2447" s="946" customFormat="1" x14ac:dyDescent="0.3"/>
    <row r="2448" s="946" customFormat="1" x14ac:dyDescent="0.3"/>
    <row r="2449" s="946" customFormat="1" x14ac:dyDescent="0.3"/>
    <row r="2450" s="946" customFormat="1" x14ac:dyDescent="0.3"/>
    <row r="2451" s="946" customFormat="1" x14ac:dyDescent="0.3"/>
    <row r="2452" s="946" customFormat="1" x14ac:dyDescent="0.3"/>
    <row r="2453" s="946" customFormat="1" x14ac:dyDescent="0.3"/>
    <row r="2454" s="946" customFormat="1" x14ac:dyDescent="0.3"/>
    <row r="2455" s="946" customFormat="1" x14ac:dyDescent="0.3"/>
    <row r="2456" s="946" customFormat="1" x14ac:dyDescent="0.3"/>
    <row r="2457" s="946" customFormat="1" x14ac:dyDescent="0.3"/>
    <row r="2458" s="946" customFormat="1" x14ac:dyDescent="0.3"/>
    <row r="2459" s="946" customFormat="1" x14ac:dyDescent="0.3"/>
    <row r="2460" s="946" customFormat="1" x14ac:dyDescent="0.3"/>
    <row r="2461" s="946" customFormat="1" x14ac:dyDescent="0.3"/>
    <row r="2462" s="946" customFormat="1" x14ac:dyDescent="0.3"/>
    <row r="2463" s="946" customFormat="1" x14ac:dyDescent="0.3"/>
    <row r="2464" s="946" customFormat="1" x14ac:dyDescent="0.3"/>
    <row r="2465" s="946" customFormat="1" x14ac:dyDescent="0.3"/>
    <row r="2466" s="946" customFormat="1" x14ac:dyDescent="0.3"/>
    <row r="2467" s="946" customFormat="1" x14ac:dyDescent="0.3"/>
    <row r="2468" s="946" customFormat="1" x14ac:dyDescent="0.3"/>
    <row r="2469" s="946" customFormat="1" x14ac:dyDescent="0.3"/>
    <row r="2470" s="946" customFormat="1" x14ac:dyDescent="0.3"/>
    <row r="2471" s="946" customFormat="1" x14ac:dyDescent="0.3"/>
    <row r="2472" s="946" customFormat="1" x14ac:dyDescent="0.3"/>
    <row r="2473" s="946" customFormat="1" x14ac:dyDescent="0.3"/>
    <row r="2474" s="946" customFormat="1" x14ac:dyDescent="0.3"/>
    <row r="2475" s="946" customFormat="1" x14ac:dyDescent="0.3"/>
    <row r="2476" s="946" customFormat="1" x14ac:dyDescent="0.3"/>
    <row r="2477" s="946" customFormat="1" x14ac:dyDescent="0.3"/>
    <row r="2478" s="946" customFormat="1" x14ac:dyDescent="0.3"/>
    <row r="2479" s="946" customFormat="1" x14ac:dyDescent="0.3"/>
    <row r="2480" s="946" customFormat="1" x14ac:dyDescent="0.3"/>
    <row r="2481" s="946" customFormat="1" x14ac:dyDescent="0.3"/>
    <row r="2482" s="946" customFormat="1" x14ac:dyDescent="0.3"/>
    <row r="2483" s="946" customFormat="1" x14ac:dyDescent="0.3"/>
    <row r="2484" s="946" customFormat="1" x14ac:dyDescent="0.3"/>
    <row r="2485" s="946" customFormat="1" x14ac:dyDescent="0.3"/>
    <row r="2486" s="946" customFormat="1" x14ac:dyDescent="0.3"/>
    <row r="2487" s="946" customFormat="1" x14ac:dyDescent="0.3"/>
    <row r="2488" s="946" customFormat="1" x14ac:dyDescent="0.3"/>
    <row r="2489" s="946" customFormat="1" x14ac:dyDescent="0.3"/>
    <row r="2490" s="946" customFormat="1" x14ac:dyDescent="0.3"/>
    <row r="2491" s="946" customFormat="1" x14ac:dyDescent="0.3"/>
    <row r="2492" s="946" customFormat="1" x14ac:dyDescent="0.3"/>
    <row r="2493" s="946" customFormat="1" x14ac:dyDescent="0.3"/>
    <row r="2494" s="946" customFormat="1" x14ac:dyDescent="0.3"/>
    <row r="2495" s="946" customFormat="1" x14ac:dyDescent="0.3"/>
    <row r="2496" s="946" customFormat="1" x14ac:dyDescent="0.3"/>
    <row r="2497" s="946" customFormat="1" x14ac:dyDescent="0.3"/>
    <row r="2498" s="946" customFormat="1" x14ac:dyDescent="0.3"/>
    <row r="2499" s="946" customFormat="1" x14ac:dyDescent="0.3"/>
    <row r="2500" s="946" customFormat="1" x14ac:dyDescent="0.3"/>
    <row r="2501" s="946" customFormat="1" x14ac:dyDescent="0.3"/>
    <row r="2502" s="946" customFormat="1" x14ac:dyDescent="0.3"/>
    <row r="2503" s="946" customFormat="1" x14ac:dyDescent="0.3"/>
    <row r="2504" s="946" customFormat="1" x14ac:dyDescent="0.3"/>
    <row r="2505" s="946" customFormat="1" x14ac:dyDescent="0.3"/>
    <row r="2506" s="946" customFormat="1" x14ac:dyDescent="0.3"/>
    <row r="2507" s="946" customFormat="1" x14ac:dyDescent="0.3"/>
    <row r="2508" s="946" customFormat="1" x14ac:dyDescent="0.3"/>
    <row r="2509" s="946" customFormat="1" x14ac:dyDescent="0.3"/>
    <row r="2510" s="946" customFormat="1" x14ac:dyDescent="0.3"/>
    <row r="2511" s="946" customFormat="1" x14ac:dyDescent="0.3"/>
    <row r="2512" s="946" customFormat="1" x14ac:dyDescent="0.3"/>
    <row r="2513" s="946" customFormat="1" x14ac:dyDescent="0.3"/>
    <row r="2514" s="946" customFormat="1" x14ac:dyDescent="0.3"/>
    <row r="2515" s="946" customFormat="1" x14ac:dyDescent="0.3"/>
    <row r="2516" s="946" customFormat="1" x14ac:dyDescent="0.3"/>
    <row r="2517" s="946" customFormat="1" x14ac:dyDescent="0.3"/>
    <row r="2518" s="946" customFormat="1" x14ac:dyDescent="0.3"/>
    <row r="2519" s="946" customFormat="1" x14ac:dyDescent="0.3"/>
    <row r="2520" s="946" customFormat="1" x14ac:dyDescent="0.3"/>
    <row r="2521" s="946" customFormat="1" x14ac:dyDescent="0.3"/>
    <row r="2522" s="946" customFormat="1" x14ac:dyDescent="0.3"/>
    <row r="2523" s="946" customFormat="1" x14ac:dyDescent="0.3"/>
    <row r="2524" s="946" customFormat="1" x14ac:dyDescent="0.3"/>
    <row r="2525" s="946" customFormat="1" x14ac:dyDescent="0.3"/>
    <row r="2526" s="946" customFormat="1" x14ac:dyDescent="0.3"/>
    <row r="2527" s="946" customFormat="1" x14ac:dyDescent="0.3"/>
    <row r="2528" s="946" customFormat="1" x14ac:dyDescent="0.3"/>
    <row r="2529" s="946" customFormat="1" x14ac:dyDescent="0.3"/>
    <row r="2530" s="946" customFormat="1" x14ac:dyDescent="0.3"/>
    <row r="2531" s="946" customFormat="1" x14ac:dyDescent="0.3"/>
    <row r="2532" s="946" customFormat="1" x14ac:dyDescent="0.3"/>
    <row r="2533" s="946" customFormat="1" x14ac:dyDescent="0.3"/>
    <row r="2534" s="946" customFormat="1" x14ac:dyDescent="0.3"/>
    <row r="2535" s="946" customFormat="1" x14ac:dyDescent="0.3"/>
    <row r="2536" s="946" customFormat="1" x14ac:dyDescent="0.3"/>
    <row r="2537" s="946" customFormat="1" x14ac:dyDescent="0.3"/>
    <row r="2538" s="946" customFormat="1" x14ac:dyDescent="0.3"/>
    <row r="2539" s="946" customFormat="1" x14ac:dyDescent="0.3"/>
    <row r="2540" s="946" customFormat="1" x14ac:dyDescent="0.3"/>
    <row r="2541" s="946" customFormat="1" x14ac:dyDescent="0.3"/>
    <row r="2542" s="946" customFormat="1" x14ac:dyDescent="0.3"/>
    <row r="2543" s="946" customFormat="1" x14ac:dyDescent="0.3"/>
    <row r="2544" s="946" customFormat="1" x14ac:dyDescent="0.3"/>
    <row r="2545" s="946" customFormat="1" x14ac:dyDescent="0.3"/>
    <row r="2546" s="946" customFormat="1" x14ac:dyDescent="0.3"/>
    <row r="2547" s="946" customFormat="1" x14ac:dyDescent="0.3"/>
    <row r="2548" s="946" customFormat="1" x14ac:dyDescent="0.3"/>
    <row r="2549" s="946" customFormat="1" x14ac:dyDescent="0.3"/>
    <row r="2550" s="946" customFormat="1" x14ac:dyDescent="0.3"/>
    <row r="2551" s="946" customFormat="1" x14ac:dyDescent="0.3"/>
    <row r="2552" s="946" customFormat="1" x14ac:dyDescent="0.3"/>
    <row r="2553" s="946" customFormat="1" x14ac:dyDescent="0.3"/>
    <row r="2554" s="946" customFormat="1" x14ac:dyDescent="0.3"/>
    <row r="2555" s="946" customFormat="1" x14ac:dyDescent="0.3"/>
    <row r="2556" s="946" customFormat="1" x14ac:dyDescent="0.3"/>
    <row r="2557" s="946" customFormat="1" x14ac:dyDescent="0.3"/>
    <row r="2558" s="946" customFormat="1" x14ac:dyDescent="0.3"/>
    <row r="2559" s="946" customFormat="1" x14ac:dyDescent="0.3"/>
    <row r="2560" s="946" customFormat="1" x14ac:dyDescent="0.3"/>
    <row r="2561" s="946" customFormat="1" x14ac:dyDescent="0.3"/>
    <row r="2562" s="946" customFormat="1" x14ac:dyDescent="0.3"/>
    <row r="2563" s="946" customFormat="1" x14ac:dyDescent="0.3"/>
    <row r="2564" s="946" customFormat="1" x14ac:dyDescent="0.3"/>
    <row r="2565" s="946" customFormat="1" x14ac:dyDescent="0.3"/>
    <row r="2566" s="946" customFormat="1" x14ac:dyDescent="0.3"/>
    <row r="2567" s="946" customFormat="1" x14ac:dyDescent="0.3"/>
    <row r="2568" s="946" customFormat="1" x14ac:dyDescent="0.3"/>
    <row r="2569" s="946" customFormat="1" x14ac:dyDescent="0.3"/>
    <row r="2570" s="946" customFormat="1" x14ac:dyDescent="0.3"/>
    <row r="2571" s="946" customFormat="1" x14ac:dyDescent="0.3"/>
    <row r="2572" s="946" customFormat="1" x14ac:dyDescent="0.3"/>
    <row r="2573" s="946" customFormat="1" x14ac:dyDescent="0.3"/>
    <row r="2574" s="946" customFormat="1" x14ac:dyDescent="0.3"/>
    <row r="2575" s="946" customFormat="1" x14ac:dyDescent="0.3"/>
    <row r="2576" s="946" customFormat="1" x14ac:dyDescent="0.3"/>
    <row r="2577" s="946" customFormat="1" x14ac:dyDescent="0.3"/>
    <row r="2578" s="946" customFormat="1" x14ac:dyDescent="0.3"/>
    <row r="2579" s="946" customFormat="1" x14ac:dyDescent="0.3"/>
    <row r="2580" s="946" customFormat="1" x14ac:dyDescent="0.3"/>
    <row r="2581" s="946" customFormat="1" x14ac:dyDescent="0.3"/>
    <row r="2582" s="946" customFormat="1" x14ac:dyDescent="0.3"/>
    <row r="2583" s="946" customFormat="1" x14ac:dyDescent="0.3"/>
    <row r="2584" s="946" customFormat="1" x14ac:dyDescent="0.3"/>
    <row r="2585" s="946" customFormat="1" x14ac:dyDescent="0.3"/>
    <row r="2586" s="946" customFormat="1" x14ac:dyDescent="0.3"/>
    <row r="2587" s="946" customFormat="1" x14ac:dyDescent="0.3"/>
    <row r="2588" s="946" customFormat="1" x14ac:dyDescent="0.3"/>
    <row r="2589" s="946" customFormat="1" x14ac:dyDescent="0.3"/>
    <row r="2590" s="946" customFormat="1" x14ac:dyDescent="0.3"/>
    <row r="2591" s="946" customFormat="1" x14ac:dyDescent="0.3"/>
    <row r="2592" s="946" customFormat="1" x14ac:dyDescent="0.3"/>
    <row r="2593" s="946" customFormat="1" x14ac:dyDescent="0.3"/>
    <row r="2594" s="946" customFormat="1" x14ac:dyDescent="0.3"/>
    <row r="2595" s="946" customFormat="1" x14ac:dyDescent="0.3"/>
    <row r="2596" s="946" customFormat="1" x14ac:dyDescent="0.3"/>
    <row r="2597" s="946" customFormat="1" x14ac:dyDescent="0.3"/>
    <row r="2598" s="946" customFormat="1" x14ac:dyDescent="0.3"/>
    <row r="2599" s="946" customFormat="1" x14ac:dyDescent="0.3"/>
    <row r="2600" s="946" customFormat="1" x14ac:dyDescent="0.3"/>
    <row r="2601" s="946" customFormat="1" x14ac:dyDescent="0.3"/>
    <row r="2602" s="946" customFormat="1" x14ac:dyDescent="0.3"/>
    <row r="2603" s="946" customFormat="1" x14ac:dyDescent="0.3"/>
    <row r="2604" s="946" customFormat="1" x14ac:dyDescent="0.3"/>
    <row r="2605" s="946" customFormat="1" x14ac:dyDescent="0.3"/>
    <row r="2606" s="946" customFormat="1" x14ac:dyDescent="0.3"/>
    <row r="2607" s="946" customFormat="1" x14ac:dyDescent="0.3"/>
    <row r="2608" s="946" customFormat="1" x14ac:dyDescent="0.3"/>
    <row r="2609" s="946" customFormat="1" x14ac:dyDescent="0.3"/>
    <row r="2610" s="946" customFormat="1" x14ac:dyDescent="0.3"/>
    <row r="2611" s="946" customFormat="1" x14ac:dyDescent="0.3"/>
    <row r="2612" s="946" customFormat="1" x14ac:dyDescent="0.3"/>
    <row r="2613" s="946" customFormat="1" x14ac:dyDescent="0.3"/>
    <row r="2614" s="946" customFormat="1" x14ac:dyDescent="0.3"/>
    <row r="2615" s="946" customFormat="1" x14ac:dyDescent="0.3"/>
    <row r="2616" s="946" customFormat="1" x14ac:dyDescent="0.3"/>
    <row r="2617" s="946" customFormat="1" x14ac:dyDescent="0.3"/>
    <row r="2618" s="946" customFormat="1" x14ac:dyDescent="0.3"/>
    <row r="2619" s="946" customFormat="1" x14ac:dyDescent="0.3"/>
    <row r="2620" s="946" customFormat="1" x14ac:dyDescent="0.3"/>
    <row r="2621" s="946" customFormat="1" x14ac:dyDescent="0.3"/>
    <row r="2622" s="946" customFormat="1" x14ac:dyDescent="0.3"/>
    <row r="2623" s="946" customFormat="1" x14ac:dyDescent="0.3"/>
    <row r="2624" s="946" customFormat="1" x14ac:dyDescent="0.3"/>
    <row r="2625" s="946" customFormat="1" x14ac:dyDescent="0.3"/>
    <row r="2626" s="946" customFormat="1" x14ac:dyDescent="0.3"/>
    <row r="2627" s="946" customFormat="1" x14ac:dyDescent="0.3"/>
    <row r="2628" s="946" customFormat="1" x14ac:dyDescent="0.3"/>
    <row r="2629" s="946" customFormat="1" x14ac:dyDescent="0.3"/>
    <row r="2630" s="946" customFormat="1" x14ac:dyDescent="0.3"/>
    <row r="2631" s="946" customFormat="1" x14ac:dyDescent="0.3"/>
    <row r="2632" s="946" customFormat="1" x14ac:dyDescent="0.3"/>
    <row r="2633" s="946" customFormat="1" x14ac:dyDescent="0.3"/>
    <row r="2634" s="946" customFormat="1" x14ac:dyDescent="0.3"/>
    <row r="2635" s="946" customFormat="1" x14ac:dyDescent="0.3"/>
    <row r="2636" s="946" customFormat="1" x14ac:dyDescent="0.3"/>
    <row r="2637" s="946" customFormat="1" x14ac:dyDescent="0.3"/>
    <row r="2638" s="946" customFormat="1" x14ac:dyDescent="0.3"/>
    <row r="2639" s="946" customFormat="1" x14ac:dyDescent="0.3"/>
    <row r="2640" s="946" customFormat="1" x14ac:dyDescent="0.3"/>
    <row r="2641" s="946" customFormat="1" x14ac:dyDescent="0.3"/>
    <row r="2642" s="946" customFormat="1" x14ac:dyDescent="0.3"/>
    <row r="2643" s="946" customFormat="1" x14ac:dyDescent="0.3"/>
    <row r="2644" s="946" customFormat="1" x14ac:dyDescent="0.3"/>
    <row r="2645" s="946" customFormat="1" x14ac:dyDescent="0.3"/>
    <row r="2646" s="946" customFormat="1" x14ac:dyDescent="0.3"/>
    <row r="2647" s="946" customFormat="1" x14ac:dyDescent="0.3"/>
    <row r="2648" s="946" customFormat="1" x14ac:dyDescent="0.3"/>
    <row r="2649" s="946" customFormat="1" x14ac:dyDescent="0.3"/>
    <row r="2650" s="946" customFormat="1" x14ac:dyDescent="0.3"/>
    <row r="2651" s="946" customFormat="1" x14ac:dyDescent="0.3"/>
    <row r="2652" s="946" customFormat="1" x14ac:dyDescent="0.3"/>
    <row r="2653" s="946" customFormat="1" x14ac:dyDescent="0.3"/>
    <row r="2654" s="946" customFormat="1" x14ac:dyDescent="0.3"/>
    <row r="2655" s="946" customFormat="1" x14ac:dyDescent="0.3"/>
    <row r="2656" s="946" customFormat="1" x14ac:dyDescent="0.3"/>
    <row r="2657" s="946" customFormat="1" x14ac:dyDescent="0.3"/>
    <row r="2658" s="946" customFormat="1" x14ac:dyDescent="0.3"/>
    <row r="2659" s="946" customFormat="1" x14ac:dyDescent="0.3"/>
    <row r="2660" s="946" customFormat="1" x14ac:dyDescent="0.3"/>
    <row r="2661" s="946" customFormat="1" x14ac:dyDescent="0.3"/>
    <row r="2662" s="946" customFormat="1" x14ac:dyDescent="0.3"/>
    <row r="2663" s="946" customFormat="1" x14ac:dyDescent="0.3"/>
    <row r="2664" s="946" customFormat="1" x14ac:dyDescent="0.3"/>
    <row r="2665" s="946" customFormat="1" x14ac:dyDescent="0.3"/>
    <row r="2666" s="946" customFormat="1" x14ac:dyDescent="0.3"/>
    <row r="2667" s="946" customFormat="1" x14ac:dyDescent="0.3"/>
    <row r="2668" s="946" customFormat="1" x14ac:dyDescent="0.3"/>
    <row r="2669" s="946" customFormat="1" x14ac:dyDescent="0.3"/>
    <row r="2670" s="946" customFormat="1" x14ac:dyDescent="0.3"/>
    <row r="2671" s="946" customFormat="1" x14ac:dyDescent="0.3"/>
    <row r="2672" s="946" customFormat="1" x14ac:dyDescent="0.3"/>
    <row r="2673" s="946" customFormat="1" x14ac:dyDescent="0.3"/>
    <row r="2674" s="946" customFormat="1" x14ac:dyDescent="0.3"/>
    <row r="2675" s="946" customFormat="1" x14ac:dyDescent="0.3"/>
    <row r="2676" s="946" customFormat="1" x14ac:dyDescent="0.3"/>
    <row r="2677" s="946" customFormat="1" x14ac:dyDescent="0.3"/>
    <row r="2678" s="946" customFormat="1" x14ac:dyDescent="0.3"/>
    <row r="2679" s="946" customFormat="1" x14ac:dyDescent="0.3"/>
    <row r="2680" s="946" customFormat="1" x14ac:dyDescent="0.3"/>
    <row r="2681" s="946" customFormat="1" x14ac:dyDescent="0.3"/>
    <row r="2682" s="946" customFormat="1" x14ac:dyDescent="0.3"/>
    <row r="2683" s="946" customFormat="1" x14ac:dyDescent="0.3"/>
    <row r="2684" s="946" customFormat="1" x14ac:dyDescent="0.3"/>
    <row r="2685" s="946" customFormat="1" x14ac:dyDescent="0.3"/>
    <row r="2686" s="946" customFormat="1" x14ac:dyDescent="0.3"/>
    <row r="2687" s="946" customFormat="1" x14ac:dyDescent="0.3"/>
    <row r="2688" s="946" customFormat="1" x14ac:dyDescent="0.3"/>
    <row r="2689" s="946" customFormat="1" x14ac:dyDescent="0.3"/>
    <row r="2690" s="946" customFormat="1" x14ac:dyDescent="0.3"/>
    <row r="2691" s="946" customFormat="1" x14ac:dyDescent="0.3"/>
    <row r="2692" s="946" customFormat="1" x14ac:dyDescent="0.3"/>
    <row r="2693" s="946" customFormat="1" x14ac:dyDescent="0.3"/>
    <row r="2694" s="946" customFormat="1" x14ac:dyDescent="0.3"/>
    <row r="2695" s="946" customFormat="1" x14ac:dyDescent="0.3"/>
    <row r="2696" s="946" customFormat="1" x14ac:dyDescent="0.3"/>
    <row r="2697" s="946" customFormat="1" x14ac:dyDescent="0.3"/>
    <row r="2698" s="946" customFormat="1" x14ac:dyDescent="0.3"/>
    <row r="2699" s="946" customFormat="1" x14ac:dyDescent="0.3"/>
    <row r="2700" s="946" customFormat="1" x14ac:dyDescent="0.3"/>
    <row r="2701" s="946" customFormat="1" x14ac:dyDescent="0.3"/>
    <row r="2702" s="946" customFormat="1" x14ac:dyDescent="0.3"/>
    <row r="2703" s="946" customFormat="1" x14ac:dyDescent="0.3"/>
    <row r="2704" s="946" customFormat="1" x14ac:dyDescent="0.3"/>
    <row r="2705" s="946" customFormat="1" x14ac:dyDescent="0.3"/>
    <row r="2706" s="946" customFormat="1" x14ac:dyDescent="0.3"/>
    <row r="2707" s="946" customFormat="1" x14ac:dyDescent="0.3"/>
    <row r="2708" s="946" customFormat="1" x14ac:dyDescent="0.3"/>
    <row r="2709" s="946" customFormat="1" x14ac:dyDescent="0.3"/>
    <row r="2710" s="946" customFormat="1" x14ac:dyDescent="0.3"/>
    <row r="2711" s="946" customFormat="1" x14ac:dyDescent="0.3"/>
    <row r="2712" s="946" customFormat="1" x14ac:dyDescent="0.3"/>
    <row r="2713" s="946" customFormat="1" x14ac:dyDescent="0.3"/>
    <row r="2714" s="946" customFormat="1" x14ac:dyDescent="0.3"/>
    <row r="2715" s="946" customFormat="1" x14ac:dyDescent="0.3"/>
    <row r="2716" s="946" customFormat="1" x14ac:dyDescent="0.3"/>
    <row r="2717" s="946" customFormat="1" x14ac:dyDescent="0.3"/>
    <row r="2718" s="946" customFormat="1" x14ac:dyDescent="0.3"/>
    <row r="2719" s="946" customFormat="1" x14ac:dyDescent="0.3"/>
    <row r="2720" s="946" customFormat="1" x14ac:dyDescent="0.3"/>
    <row r="2721" s="946" customFormat="1" x14ac:dyDescent="0.3"/>
    <row r="2722" s="946" customFormat="1" x14ac:dyDescent="0.3"/>
    <row r="2723" s="946" customFormat="1" x14ac:dyDescent="0.3"/>
    <row r="2724" s="946" customFormat="1" x14ac:dyDescent="0.3"/>
    <row r="2725" s="946" customFormat="1" x14ac:dyDescent="0.3"/>
    <row r="2726" s="946" customFormat="1" x14ac:dyDescent="0.3"/>
    <row r="2727" s="946" customFormat="1" x14ac:dyDescent="0.3"/>
    <row r="2728" s="946" customFormat="1" x14ac:dyDescent="0.3"/>
    <row r="2729" s="946" customFormat="1" x14ac:dyDescent="0.3"/>
    <row r="2730" s="946" customFormat="1" x14ac:dyDescent="0.3"/>
    <row r="2731" s="946" customFormat="1" x14ac:dyDescent="0.3"/>
    <row r="2732" s="946" customFormat="1" x14ac:dyDescent="0.3"/>
    <row r="2733" s="946" customFormat="1" x14ac:dyDescent="0.3"/>
    <row r="2734" s="946" customFormat="1" x14ac:dyDescent="0.3"/>
    <row r="2735" s="946" customFormat="1" x14ac:dyDescent="0.3"/>
    <row r="2736" s="946" customFormat="1" x14ac:dyDescent="0.3"/>
    <row r="2737" s="946" customFormat="1" x14ac:dyDescent="0.3"/>
    <row r="2738" s="946" customFormat="1" x14ac:dyDescent="0.3"/>
    <row r="2739" s="946" customFormat="1" x14ac:dyDescent="0.3"/>
    <row r="2740" s="946" customFormat="1" x14ac:dyDescent="0.3"/>
    <row r="2741" s="946" customFormat="1" x14ac:dyDescent="0.3"/>
    <row r="2742" s="946" customFormat="1" x14ac:dyDescent="0.3"/>
    <row r="2743" s="946" customFormat="1" x14ac:dyDescent="0.3"/>
    <row r="2744" s="946" customFormat="1" x14ac:dyDescent="0.3"/>
    <row r="2745" s="946" customFormat="1" x14ac:dyDescent="0.3"/>
    <row r="2746" s="946" customFormat="1" x14ac:dyDescent="0.3"/>
    <row r="2747" s="946" customFormat="1" x14ac:dyDescent="0.3"/>
    <row r="2748" s="946" customFormat="1" x14ac:dyDescent="0.3"/>
    <row r="2749" s="946" customFormat="1" x14ac:dyDescent="0.3"/>
    <row r="2750" s="946" customFormat="1" x14ac:dyDescent="0.3"/>
    <row r="2751" s="946" customFormat="1" x14ac:dyDescent="0.3"/>
    <row r="2752" s="946" customFormat="1" x14ac:dyDescent="0.3"/>
    <row r="2753" s="946" customFormat="1" x14ac:dyDescent="0.3"/>
    <row r="2754" s="946" customFormat="1" x14ac:dyDescent="0.3"/>
    <row r="2755" s="946" customFormat="1" x14ac:dyDescent="0.3"/>
    <row r="2756" s="946" customFormat="1" x14ac:dyDescent="0.3"/>
    <row r="2757" s="946" customFormat="1" x14ac:dyDescent="0.3"/>
    <row r="2758" s="946" customFormat="1" x14ac:dyDescent="0.3"/>
    <row r="2759" s="946" customFormat="1" x14ac:dyDescent="0.3"/>
    <row r="2760" s="946" customFormat="1" x14ac:dyDescent="0.3"/>
    <row r="2761" s="946" customFormat="1" x14ac:dyDescent="0.3"/>
    <row r="2762" s="946" customFormat="1" x14ac:dyDescent="0.3"/>
    <row r="2763" s="946" customFormat="1" x14ac:dyDescent="0.3"/>
    <row r="2764" s="946" customFormat="1" x14ac:dyDescent="0.3"/>
    <row r="2765" s="946" customFormat="1" x14ac:dyDescent="0.3"/>
    <row r="2766" s="946" customFormat="1" x14ac:dyDescent="0.3"/>
    <row r="2767" s="946" customFormat="1" x14ac:dyDescent="0.3"/>
    <row r="2768" s="946" customFormat="1" x14ac:dyDescent="0.3"/>
    <row r="2769" s="946" customFormat="1" x14ac:dyDescent="0.3"/>
    <row r="2770" s="946" customFormat="1" x14ac:dyDescent="0.3"/>
    <row r="2771" s="946" customFormat="1" x14ac:dyDescent="0.3"/>
    <row r="2772" s="946" customFormat="1" x14ac:dyDescent="0.3"/>
    <row r="2773" s="946" customFormat="1" x14ac:dyDescent="0.3"/>
    <row r="2774" s="946" customFormat="1" x14ac:dyDescent="0.3"/>
    <row r="2775" s="946" customFormat="1" x14ac:dyDescent="0.3"/>
    <row r="2776" s="946" customFormat="1" x14ac:dyDescent="0.3"/>
    <row r="2777" s="946" customFormat="1" x14ac:dyDescent="0.3"/>
    <row r="2778" s="946" customFormat="1" x14ac:dyDescent="0.3"/>
    <row r="2779" s="946" customFormat="1" x14ac:dyDescent="0.3"/>
    <row r="2780" s="946" customFormat="1" x14ac:dyDescent="0.3"/>
    <row r="2781" s="946" customFormat="1" x14ac:dyDescent="0.3"/>
    <row r="2782" s="946" customFormat="1" x14ac:dyDescent="0.3"/>
    <row r="2783" s="946" customFormat="1" x14ac:dyDescent="0.3"/>
    <row r="2784" s="946" customFormat="1" x14ac:dyDescent="0.3"/>
    <row r="2785" s="946" customFormat="1" x14ac:dyDescent="0.3"/>
    <row r="2786" s="946" customFormat="1" x14ac:dyDescent="0.3"/>
    <row r="2787" s="946" customFormat="1" x14ac:dyDescent="0.3"/>
    <row r="2788" s="946" customFormat="1" x14ac:dyDescent="0.3"/>
    <row r="2789" s="946" customFormat="1" x14ac:dyDescent="0.3"/>
    <row r="2790" s="946" customFormat="1" x14ac:dyDescent="0.3"/>
    <row r="2791" s="946" customFormat="1" x14ac:dyDescent="0.3"/>
    <row r="2792" s="946" customFormat="1" x14ac:dyDescent="0.3"/>
    <row r="2793" s="946" customFormat="1" x14ac:dyDescent="0.3"/>
    <row r="2794" s="946" customFormat="1" x14ac:dyDescent="0.3"/>
    <row r="2795" s="946" customFormat="1" x14ac:dyDescent="0.3"/>
    <row r="2796" s="946" customFormat="1" x14ac:dyDescent="0.3"/>
    <row r="2797" s="946" customFormat="1" x14ac:dyDescent="0.3"/>
    <row r="2798" s="946" customFormat="1" x14ac:dyDescent="0.3"/>
    <row r="2799" s="946" customFormat="1" x14ac:dyDescent="0.3"/>
    <row r="2800" s="946" customFormat="1" x14ac:dyDescent="0.3"/>
    <row r="2801" s="946" customFormat="1" x14ac:dyDescent="0.3"/>
    <row r="2802" s="946" customFormat="1" x14ac:dyDescent="0.3"/>
    <row r="2803" s="946" customFormat="1" x14ac:dyDescent="0.3"/>
    <row r="2804" s="946" customFormat="1" x14ac:dyDescent="0.3"/>
    <row r="2805" s="946" customFormat="1" x14ac:dyDescent="0.3"/>
    <row r="2806" s="946" customFormat="1" x14ac:dyDescent="0.3"/>
    <row r="2807" s="946" customFormat="1" x14ac:dyDescent="0.3"/>
    <row r="2808" s="946" customFormat="1" x14ac:dyDescent="0.3"/>
    <row r="2809" s="946" customFormat="1" x14ac:dyDescent="0.3"/>
    <row r="2810" s="946" customFormat="1" x14ac:dyDescent="0.3"/>
    <row r="2811" s="946" customFormat="1" x14ac:dyDescent="0.3"/>
    <row r="2812" s="946" customFormat="1" x14ac:dyDescent="0.3"/>
    <row r="2813" s="946" customFormat="1" x14ac:dyDescent="0.3"/>
    <row r="2814" s="946" customFormat="1" x14ac:dyDescent="0.3"/>
    <row r="2815" s="946" customFormat="1" x14ac:dyDescent="0.3"/>
    <row r="2816" s="946" customFormat="1" x14ac:dyDescent="0.3"/>
    <row r="2817" s="946" customFormat="1" x14ac:dyDescent="0.3"/>
    <row r="2818" s="946" customFormat="1" x14ac:dyDescent="0.3"/>
    <row r="2819" s="946" customFormat="1" x14ac:dyDescent="0.3"/>
    <row r="2820" s="946" customFormat="1" x14ac:dyDescent="0.3"/>
    <row r="2821" s="946" customFormat="1" x14ac:dyDescent="0.3"/>
    <row r="2822" s="946" customFormat="1" x14ac:dyDescent="0.3"/>
    <row r="2823" s="946" customFormat="1" x14ac:dyDescent="0.3"/>
    <row r="2824" s="946" customFormat="1" x14ac:dyDescent="0.3"/>
    <row r="2825" s="946" customFormat="1" x14ac:dyDescent="0.3"/>
    <row r="2826" s="946" customFormat="1" x14ac:dyDescent="0.3"/>
    <row r="2827" s="946" customFormat="1" x14ac:dyDescent="0.3"/>
    <row r="2828" s="946" customFormat="1" x14ac:dyDescent="0.3"/>
    <row r="2829" s="946" customFormat="1" x14ac:dyDescent="0.3"/>
    <row r="2830" s="946" customFormat="1" x14ac:dyDescent="0.3"/>
    <row r="2831" s="946" customFormat="1" x14ac:dyDescent="0.3"/>
    <row r="2832" s="946" customFormat="1" x14ac:dyDescent="0.3"/>
    <row r="2833" s="946" customFormat="1" x14ac:dyDescent="0.3"/>
    <row r="2834" s="946" customFormat="1" x14ac:dyDescent="0.3"/>
    <row r="2835" s="946" customFormat="1" x14ac:dyDescent="0.3"/>
    <row r="2836" s="946" customFormat="1" x14ac:dyDescent="0.3"/>
    <row r="2837" s="946" customFormat="1" x14ac:dyDescent="0.3"/>
    <row r="2838" s="946" customFormat="1" x14ac:dyDescent="0.3"/>
    <row r="2839" s="946" customFormat="1" x14ac:dyDescent="0.3"/>
    <row r="2840" s="946" customFormat="1" x14ac:dyDescent="0.3"/>
    <row r="2841" s="946" customFormat="1" x14ac:dyDescent="0.3"/>
    <row r="2842" s="946" customFormat="1" x14ac:dyDescent="0.3"/>
    <row r="2843" s="946" customFormat="1" x14ac:dyDescent="0.3"/>
    <row r="2844" s="946" customFormat="1" x14ac:dyDescent="0.3"/>
    <row r="2845" s="946" customFormat="1" x14ac:dyDescent="0.3"/>
    <row r="2846" s="946" customFormat="1" x14ac:dyDescent="0.3"/>
    <row r="2847" s="946" customFormat="1" x14ac:dyDescent="0.3"/>
    <row r="2848" s="946" customFormat="1" x14ac:dyDescent="0.3"/>
    <row r="2849" s="946" customFormat="1" x14ac:dyDescent="0.3"/>
    <row r="2850" s="946" customFormat="1" x14ac:dyDescent="0.3"/>
    <row r="2851" s="946" customFormat="1" x14ac:dyDescent="0.3"/>
    <row r="2852" s="946" customFormat="1" x14ac:dyDescent="0.3"/>
    <row r="2853" s="946" customFormat="1" x14ac:dyDescent="0.3"/>
    <row r="2854" s="946" customFormat="1" x14ac:dyDescent="0.3"/>
    <row r="2855" s="946" customFormat="1" x14ac:dyDescent="0.3"/>
    <row r="2856" s="946" customFormat="1" x14ac:dyDescent="0.3"/>
    <row r="2857" s="946" customFormat="1" x14ac:dyDescent="0.3"/>
    <row r="2858" s="946" customFormat="1" x14ac:dyDescent="0.3"/>
    <row r="2859" s="946" customFormat="1" x14ac:dyDescent="0.3"/>
    <row r="2860" s="946" customFormat="1" x14ac:dyDescent="0.3"/>
    <row r="2861" s="946" customFormat="1" x14ac:dyDescent="0.3"/>
    <row r="2862" s="946" customFormat="1" x14ac:dyDescent="0.3"/>
    <row r="2863" s="946" customFormat="1" x14ac:dyDescent="0.3"/>
    <row r="2864" s="946" customFormat="1" x14ac:dyDescent="0.3"/>
    <row r="2865" s="946" customFormat="1" x14ac:dyDescent="0.3"/>
    <row r="2866" s="946" customFormat="1" x14ac:dyDescent="0.3"/>
    <row r="2867" s="946" customFormat="1" x14ac:dyDescent="0.3"/>
    <row r="2868" s="946" customFormat="1" x14ac:dyDescent="0.3"/>
    <row r="2869" s="946" customFormat="1" x14ac:dyDescent="0.3"/>
    <row r="2870" s="946" customFormat="1" x14ac:dyDescent="0.3"/>
    <row r="2871" s="946" customFormat="1" x14ac:dyDescent="0.3"/>
    <row r="2872" s="946" customFormat="1" x14ac:dyDescent="0.3"/>
    <row r="2873" s="946" customFormat="1" x14ac:dyDescent="0.3"/>
    <row r="2874" s="946" customFormat="1" x14ac:dyDescent="0.3"/>
    <row r="2875" s="946" customFormat="1" x14ac:dyDescent="0.3"/>
    <row r="2876" s="946" customFormat="1" x14ac:dyDescent="0.3"/>
    <row r="2877" s="946" customFormat="1" x14ac:dyDescent="0.3"/>
    <row r="2878" s="946" customFormat="1" x14ac:dyDescent="0.3"/>
    <row r="2879" s="946" customFormat="1" x14ac:dyDescent="0.3"/>
    <row r="2880" s="946" customFormat="1" x14ac:dyDescent="0.3"/>
    <row r="2881" s="946" customFormat="1" x14ac:dyDescent="0.3"/>
    <row r="2882" s="946" customFormat="1" x14ac:dyDescent="0.3"/>
    <row r="2883" s="946" customFormat="1" x14ac:dyDescent="0.3"/>
    <row r="2884" s="946" customFormat="1" x14ac:dyDescent="0.3"/>
    <row r="2885" s="946" customFormat="1" x14ac:dyDescent="0.3"/>
    <row r="2886" s="946" customFormat="1" x14ac:dyDescent="0.3"/>
    <row r="2887" s="946" customFormat="1" x14ac:dyDescent="0.3"/>
    <row r="2888" s="946" customFormat="1" x14ac:dyDescent="0.3"/>
    <row r="2889" s="946" customFormat="1" x14ac:dyDescent="0.3"/>
    <row r="2890" s="946" customFormat="1" x14ac:dyDescent="0.3"/>
    <row r="2891" s="946" customFormat="1" x14ac:dyDescent="0.3"/>
    <row r="2892" s="946" customFormat="1" x14ac:dyDescent="0.3"/>
    <row r="2893" s="946" customFormat="1" x14ac:dyDescent="0.3"/>
    <row r="2894" s="946" customFormat="1" x14ac:dyDescent="0.3"/>
    <row r="2895" s="946" customFormat="1" x14ac:dyDescent="0.3"/>
    <row r="2896" s="946" customFormat="1" x14ac:dyDescent="0.3"/>
    <row r="2897" s="946" customFormat="1" x14ac:dyDescent="0.3"/>
    <row r="2898" s="946" customFormat="1" x14ac:dyDescent="0.3"/>
    <row r="2899" s="946" customFormat="1" x14ac:dyDescent="0.3"/>
    <row r="2900" s="946" customFormat="1" x14ac:dyDescent="0.3"/>
    <row r="2901" s="946" customFormat="1" x14ac:dyDescent="0.3"/>
    <row r="2902" s="946" customFormat="1" x14ac:dyDescent="0.3"/>
    <row r="2903" s="946" customFormat="1" x14ac:dyDescent="0.3"/>
    <row r="2904" s="946" customFormat="1" x14ac:dyDescent="0.3"/>
    <row r="2905" s="946" customFormat="1" x14ac:dyDescent="0.3"/>
    <row r="2906" s="946" customFormat="1" x14ac:dyDescent="0.3"/>
    <row r="2907" s="946" customFormat="1" x14ac:dyDescent="0.3"/>
    <row r="2908" s="946" customFormat="1" x14ac:dyDescent="0.3"/>
    <row r="2909" s="946" customFormat="1" x14ac:dyDescent="0.3"/>
    <row r="2910" s="946" customFormat="1" x14ac:dyDescent="0.3"/>
    <row r="2911" s="946" customFormat="1" x14ac:dyDescent="0.3"/>
    <row r="2912" s="946" customFormat="1" x14ac:dyDescent="0.3"/>
    <row r="2913" s="946" customFormat="1" x14ac:dyDescent="0.3"/>
    <row r="2914" s="946" customFormat="1" x14ac:dyDescent="0.3"/>
    <row r="2915" s="946" customFormat="1" x14ac:dyDescent="0.3"/>
    <row r="2916" s="946" customFormat="1" x14ac:dyDescent="0.3"/>
    <row r="2917" s="946" customFormat="1" x14ac:dyDescent="0.3"/>
    <row r="2918" s="946" customFormat="1" x14ac:dyDescent="0.3"/>
    <row r="2919" s="946" customFormat="1" x14ac:dyDescent="0.3"/>
    <row r="2920" s="946" customFormat="1" x14ac:dyDescent="0.3"/>
    <row r="2921" s="946" customFormat="1" x14ac:dyDescent="0.3"/>
    <row r="2922" s="946" customFormat="1" x14ac:dyDescent="0.3"/>
    <row r="2923" s="946" customFormat="1" x14ac:dyDescent="0.3"/>
    <row r="2924" s="946" customFormat="1" x14ac:dyDescent="0.3"/>
    <row r="2925" s="946" customFormat="1" x14ac:dyDescent="0.3"/>
    <row r="2926" s="946" customFormat="1" x14ac:dyDescent="0.3"/>
    <row r="2927" s="946" customFormat="1" x14ac:dyDescent="0.3"/>
    <row r="2928" s="946" customFormat="1" x14ac:dyDescent="0.3"/>
    <row r="2929" s="946" customFormat="1" x14ac:dyDescent="0.3"/>
    <row r="2930" s="946" customFormat="1" x14ac:dyDescent="0.3"/>
    <row r="2931" s="946" customFormat="1" x14ac:dyDescent="0.3"/>
    <row r="2932" s="946" customFormat="1" x14ac:dyDescent="0.3"/>
    <row r="2933" s="946" customFormat="1" x14ac:dyDescent="0.3"/>
    <row r="2934" s="946" customFormat="1" x14ac:dyDescent="0.3"/>
    <row r="2935" s="946" customFormat="1" x14ac:dyDescent="0.3"/>
    <row r="2936" s="946" customFormat="1" x14ac:dyDescent="0.3"/>
    <row r="2937" s="946" customFormat="1" x14ac:dyDescent="0.3"/>
    <row r="2938" s="946" customFormat="1" x14ac:dyDescent="0.3"/>
    <row r="2939" s="946" customFormat="1" x14ac:dyDescent="0.3"/>
    <row r="2940" s="946" customFormat="1" x14ac:dyDescent="0.3"/>
    <row r="2941" s="946" customFormat="1" x14ac:dyDescent="0.3"/>
    <row r="2942" s="946" customFormat="1" x14ac:dyDescent="0.3"/>
    <row r="2943" s="946" customFormat="1" x14ac:dyDescent="0.3"/>
    <row r="2944" s="946" customFormat="1" x14ac:dyDescent="0.3"/>
    <row r="2945" s="946" customFormat="1" x14ac:dyDescent="0.3"/>
    <row r="2946" s="946" customFormat="1" x14ac:dyDescent="0.3"/>
    <row r="2947" s="946" customFormat="1" x14ac:dyDescent="0.3"/>
    <row r="2948" s="946" customFormat="1" x14ac:dyDescent="0.3"/>
    <row r="2949" s="946" customFormat="1" x14ac:dyDescent="0.3"/>
    <row r="2950" s="946" customFormat="1" x14ac:dyDescent="0.3"/>
    <row r="2951" s="946" customFormat="1" x14ac:dyDescent="0.3"/>
    <row r="2952" s="946" customFormat="1" x14ac:dyDescent="0.3"/>
    <row r="2953" s="946" customFormat="1" x14ac:dyDescent="0.3"/>
    <row r="2954" s="946" customFormat="1" x14ac:dyDescent="0.3"/>
    <row r="2955" s="946" customFormat="1" x14ac:dyDescent="0.3"/>
    <row r="2956" s="946" customFormat="1" x14ac:dyDescent="0.3"/>
    <row r="2957" s="946" customFormat="1" x14ac:dyDescent="0.3"/>
    <row r="2958" s="946" customFormat="1" x14ac:dyDescent="0.3"/>
    <row r="2959" s="946" customFormat="1" x14ac:dyDescent="0.3"/>
    <row r="2960" s="946" customFormat="1" x14ac:dyDescent="0.3"/>
    <row r="2961" s="946" customFormat="1" x14ac:dyDescent="0.3"/>
    <row r="2962" s="946" customFormat="1" x14ac:dyDescent="0.3"/>
    <row r="2963" s="946" customFormat="1" x14ac:dyDescent="0.3"/>
    <row r="2964" s="946" customFormat="1" x14ac:dyDescent="0.3"/>
    <row r="2965" s="946" customFormat="1" x14ac:dyDescent="0.3"/>
    <row r="2966" s="946" customFormat="1" x14ac:dyDescent="0.3"/>
    <row r="2967" s="946" customFormat="1" x14ac:dyDescent="0.3"/>
    <row r="2968" s="946" customFormat="1" x14ac:dyDescent="0.3"/>
    <row r="2969" s="946" customFormat="1" x14ac:dyDescent="0.3"/>
    <row r="2970" s="946" customFormat="1" x14ac:dyDescent="0.3"/>
    <row r="2971" s="946" customFormat="1" x14ac:dyDescent="0.3"/>
    <row r="2972" s="946" customFormat="1" x14ac:dyDescent="0.3"/>
    <row r="2973" s="946" customFormat="1" x14ac:dyDescent="0.3"/>
    <row r="2974" s="946" customFormat="1" x14ac:dyDescent="0.3"/>
    <row r="2975" s="946" customFormat="1" x14ac:dyDescent="0.3"/>
    <row r="2976" s="946" customFormat="1" x14ac:dyDescent="0.3"/>
    <row r="2977" s="946" customFormat="1" x14ac:dyDescent="0.3"/>
    <row r="2978" s="946" customFormat="1" x14ac:dyDescent="0.3"/>
    <row r="2979" s="946" customFormat="1" x14ac:dyDescent="0.3"/>
    <row r="2980" s="946" customFormat="1" x14ac:dyDescent="0.3"/>
    <row r="2981" s="946" customFormat="1" x14ac:dyDescent="0.3"/>
    <row r="2982" s="946" customFormat="1" x14ac:dyDescent="0.3"/>
    <row r="2983" s="946" customFormat="1" x14ac:dyDescent="0.3"/>
    <row r="2984" s="946" customFormat="1" x14ac:dyDescent="0.3"/>
    <row r="2985" s="946" customFormat="1" x14ac:dyDescent="0.3"/>
    <row r="2986" s="946" customFormat="1" x14ac:dyDescent="0.3"/>
    <row r="2987" s="946" customFormat="1" x14ac:dyDescent="0.3"/>
    <row r="2988" s="946" customFormat="1" x14ac:dyDescent="0.3"/>
    <row r="2989" s="946" customFormat="1" x14ac:dyDescent="0.3"/>
    <row r="2990" s="946" customFormat="1" x14ac:dyDescent="0.3"/>
    <row r="2991" s="946" customFormat="1" x14ac:dyDescent="0.3"/>
    <row r="2992" s="946" customFormat="1" x14ac:dyDescent="0.3"/>
    <row r="2993" s="946" customFormat="1" x14ac:dyDescent="0.3"/>
    <row r="2994" s="946" customFormat="1" x14ac:dyDescent="0.3"/>
    <row r="2995" s="946" customFormat="1" x14ac:dyDescent="0.3"/>
    <row r="2996" s="946" customFormat="1" x14ac:dyDescent="0.3"/>
    <row r="2997" s="946" customFormat="1" x14ac:dyDescent="0.3"/>
    <row r="2998" s="946" customFormat="1" x14ac:dyDescent="0.3"/>
    <row r="2999" s="946" customFormat="1" x14ac:dyDescent="0.3"/>
    <row r="3000" s="946" customFormat="1" x14ac:dyDescent="0.3"/>
    <row r="3001" s="946" customFormat="1" x14ac:dyDescent="0.3"/>
    <row r="3002" s="946" customFormat="1" x14ac:dyDescent="0.3"/>
    <row r="3003" s="946" customFormat="1" x14ac:dyDescent="0.3"/>
    <row r="3004" s="946" customFormat="1" x14ac:dyDescent="0.3"/>
    <row r="3005" s="946" customFormat="1" x14ac:dyDescent="0.3"/>
    <row r="3006" s="946" customFormat="1" x14ac:dyDescent="0.3"/>
    <row r="3007" s="946" customFormat="1" x14ac:dyDescent="0.3"/>
    <row r="3008" s="946" customFormat="1" x14ac:dyDescent="0.3"/>
    <row r="3009" s="946" customFormat="1" x14ac:dyDescent="0.3"/>
    <row r="3010" s="946" customFormat="1" x14ac:dyDescent="0.3"/>
    <row r="3011" s="946" customFormat="1" x14ac:dyDescent="0.3"/>
    <row r="3012" s="946" customFormat="1" x14ac:dyDescent="0.3"/>
    <row r="3013" s="946" customFormat="1" x14ac:dyDescent="0.3"/>
    <row r="3014" s="946" customFormat="1" x14ac:dyDescent="0.3"/>
    <row r="3015" s="946" customFormat="1" x14ac:dyDescent="0.3"/>
    <row r="3016" s="946" customFormat="1" x14ac:dyDescent="0.3"/>
    <row r="3017" s="946" customFormat="1" x14ac:dyDescent="0.3"/>
    <row r="3018" s="946" customFormat="1" x14ac:dyDescent="0.3"/>
    <row r="3019" s="946" customFormat="1" x14ac:dyDescent="0.3"/>
    <row r="3020" s="946" customFormat="1" x14ac:dyDescent="0.3"/>
    <row r="3021" s="946" customFormat="1" x14ac:dyDescent="0.3"/>
    <row r="3022" s="946" customFormat="1" x14ac:dyDescent="0.3"/>
    <row r="3023" s="946" customFormat="1" x14ac:dyDescent="0.3"/>
    <row r="3024" s="946" customFormat="1" x14ac:dyDescent="0.3"/>
    <row r="3025" s="946" customFormat="1" x14ac:dyDescent="0.3"/>
    <row r="3026" s="946" customFormat="1" x14ac:dyDescent="0.3"/>
    <row r="3027" s="946" customFormat="1" x14ac:dyDescent="0.3"/>
    <row r="3028" s="946" customFormat="1" x14ac:dyDescent="0.3"/>
    <row r="3029" s="946" customFormat="1" x14ac:dyDescent="0.3"/>
    <row r="3030" s="946" customFormat="1" x14ac:dyDescent="0.3"/>
    <row r="3031" s="946" customFormat="1" x14ac:dyDescent="0.3"/>
    <row r="3032" s="946" customFormat="1" x14ac:dyDescent="0.3"/>
    <row r="3033" s="946" customFormat="1" x14ac:dyDescent="0.3"/>
    <row r="3034" s="946" customFormat="1" x14ac:dyDescent="0.3"/>
    <row r="3035" s="946" customFormat="1" x14ac:dyDescent="0.3"/>
    <row r="3036" s="946" customFormat="1" x14ac:dyDescent="0.3"/>
    <row r="3037" s="946" customFormat="1" x14ac:dyDescent="0.3"/>
    <row r="3038" s="946" customFormat="1" x14ac:dyDescent="0.3"/>
    <row r="3039" s="946" customFormat="1" x14ac:dyDescent="0.3"/>
    <row r="3040" s="946" customFormat="1" x14ac:dyDescent="0.3"/>
    <row r="3041" s="946" customFormat="1" x14ac:dyDescent="0.3"/>
    <row r="3042" s="946" customFormat="1" x14ac:dyDescent="0.3"/>
    <row r="3043" s="946" customFormat="1" x14ac:dyDescent="0.3"/>
    <row r="3044" s="946" customFormat="1" x14ac:dyDescent="0.3"/>
    <row r="3045" s="946" customFormat="1" x14ac:dyDescent="0.3"/>
    <row r="3046" s="946" customFormat="1" x14ac:dyDescent="0.3"/>
    <row r="3047" s="946" customFormat="1" x14ac:dyDescent="0.3"/>
    <row r="3048" s="946" customFormat="1" x14ac:dyDescent="0.3"/>
    <row r="3049" s="946" customFormat="1" x14ac:dyDescent="0.3"/>
    <row r="3050" s="946" customFormat="1" x14ac:dyDescent="0.3"/>
    <row r="3051" s="946" customFormat="1" x14ac:dyDescent="0.3"/>
    <row r="3052" s="946" customFormat="1" x14ac:dyDescent="0.3"/>
    <row r="3053" s="946" customFormat="1" x14ac:dyDescent="0.3"/>
    <row r="3054" s="946" customFormat="1" x14ac:dyDescent="0.3"/>
    <row r="3055" s="946" customFormat="1" x14ac:dyDescent="0.3"/>
    <row r="3056" s="946" customFormat="1" x14ac:dyDescent="0.3"/>
    <row r="3057" s="946" customFormat="1" x14ac:dyDescent="0.3"/>
    <row r="3058" s="946" customFormat="1" x14ac:dyDescent="0.3"/>
    <row r="3059" s="946" customFormat="1" x14ac:dyDescent="0.3"/>
    <row r="3060" s="946" customFormat="1" x14ac:dyDescent="0.3"/>
    <row r="3061" s="946" customFormat="1" x14ac:dyDescent="0.3"/>
    <row r="3062" s="946" customFormat="1" x14ac:dyDescent="0.3"/>
    <row r="3063" s="946" customFormat="1" x14ac:dyDescent="0.3"/>
    <row r="3064" s="946" customFormat="1" x14ac:dyDescent="0.3"/>
    <row r="3065" s="946" customFormat="1" x14ac:dyDescent="0.3"/>
    <row r="3066" s="946" customFormat="1" x14ac:dyDescent="0.3"/>
    <row r="3067" s="946" customFormat="1" x14ac:dyDescent="0.3"/>
    <row r="3068" s="946" customFormat="1" x14ac:dyDescent="0.3"/>
    <row r="3069" s="946" customFormat="1" x14ac:dyDescent="0.3"/>
    <row r="3070" s="946" customFormat="1" x14ac:dyDescent="0.3"/>
    <row r="3071" s="946" customFormat="1" x14ac:dyDescent="0.3"/>
    <row r="3072" s="946" customFormat="1" x14ac:dyDescent="0.3"/>
    <row r="3073" s="946" customFormat="1" x14ac:dyDescent="0.3"/>
    <row r="3074" s="946" customFormat="1" x14ac:dyDescent="0.3"/>
    <row r="3075" s="946" customFormat="1" x14ac:dyDescent="0.3"/>
    <row r="3076" s="946" customFormat="1" x14ac:dyDescent="0.3"/>
    <row r="3077" s="946" customFormat="1" x14ac:dyDescent="0.3"/>
    <row r="3078" s="946" customFormat="1" x14ac:dyDescent="0.3"/>
    <row r="3079" s="946" customFormat="1" x14ac:dyDescent="0.3"/>
    <row r="3080" s="946" customFormat="1" x14ac:dyDescent="0.3"/>
    <row r="3081" s="946" customFormat="1" x14ac:dyDescent="0.3"/>
    <row r="3082" s="946" customFormat="1" x14ac:dyDescent="0.3"/>
    <row r="3083" s="946" customFormat="1" x14ac:dyDescent="0.3"/>
    <row r="3084" s="946" customFormat="1" x14ac:dyDescent="0.3"/>
    <row r="3085" s="946" customFormat="1" x14ac:dyDescent="0.3"/>
    <row r="3086" s="946" customFormat="1" x14ac:dyDescent="0.3"/>
    <row r="3087" s="946" customFormat="1" x14ac:dyDescent="0.3"/>
    <row r="3088" s="946" customFormat="1" x14ac:dyDescent="0.3"/>
    <row r="3089" s="946" customFormat="1" x14ac:dyDescent="0.3"/>
    <row r="3090" s="946" customFormat="1" x14ac:dyDescent="0.3"/>
    <row r="3091" s="946" customFormat="1" x14ac:dyDescent="0.3"/>
    <row r="3092" s="946" customFormat="1" x14ac:dyDescent="0.3"/>
    <row r="3093" s="946" customFormat="1" x14ac:dyDescent="0.3"/>
    <row r="3094" s="946" customFormat="1" x14ac:dyDescent="0.3"/>
    <row r="3095" s="946" customFormat="1" x14ac:dyDescent="0.3"/>
    <row r="3096" s="946" customFormat="1" x14ac:dyDescent="0.3"/>
    <row r="3097" s="946" customFormat="1" x14ac:dyDescent="0.3"/>
    <row r="3098" s="946" customFormat="1" x14ac:dyDescent="0.3"/>
    <row r="3099" s="946" customFormat="1" x14ac:dyDescent="0.3"/>
    <row r="3100" s="946" customFormat="1" x14ac:dyDescent="0.3"/>
    <row r="3101" s="946" customFormat="1" x14ac:dyDescent="0.3"/>
    <row r="3102" s="946" customFormat="1" x14ac:dyDescent="0.3"/>
    <row r="3103" s="946" customFormat="1" x14ac:dyDescent="0.3"/>
    <row r="3104" s="946" customFormat="1" x14ac:dyDescent="0.3"/>
    <row r="3105" s="946" customFormat="1" x14ac:dyDescent="0.3"/>
    <row r="3106" s="946" customFormat="1" x14ac:dyDescent="0.3"/>
    <row r="3107" s="946" customFormat="1" x14ac:dyDescent="0.3"/>
    <row r="3108" s="946" customFormat="1" x14ac:dyDescent="0.3"/>
    <row r="3109" s="946" customFormat="1" x14ac:dyDescent="0.3"/>
    <row r="3110" s="946" customFormat="1" x14ac:dyDescent="0.3"/>
    <row r="3111" s="946" customFormat="1" x14ac:dyDescent="0.3"/>
    <row r="3112" s="946" customFormat="1" x14ac:dyDescent="0.3"/>
    <row r="3113" s="946" customFormat="1" x14ac:dyDescent="0.3"/>
    <row r="3114" s="946" customFormat="1" x14ac:dyDescent="0.3"/>
    <row r="3115" s="946" customFormat="1" x14ac:dyDescent="0.3"/>
    <row r="3116" s="946" customFormat="1" x14ac:dyDescent="0.3"/>
    <row r="3117" s="946" customFormat="1" x14ac:dyDescent="0.3"/>
    <row r="3118" s="946" customFormat="1" x14ac:dyDescent="0.3"/>
    <row r="3119" s="946" customFormat="1" x14ac:dyDescent="0.3"/>
    <row r="3120" s="946" customFormat="1" x14ac:dyDescent="0.3"/>
    <row r="3121" s="946" customFormat="1" x14ac:dyDescent="0.3"/>
    <row r="3122" s="946" customFormat="1" x14ac:dyDescent="0.3"/>
    <row r="3123" s="946" customFormat="1" x14ac:dyDescent="0.3"/>
    <row r="3124" s="946" customFormat="1" x14ac:dyDescent="0.3"/>
    <row r="3125" s="946" customFormat="1" x14ac:dyDescent="0.3"/>
    <row r="3126" s="946" customFormat="1" x14ac:dyDescent="0.3"/>
    <row r="3127" s="946" customFormat="1" x14ac:dyDescent="0.3"/>
    <row r="3128" s="946" customFormat="1" x14ac:dyDescent="0.3"/>
    <row r="3129" s="946" customFormat="1" x14ac:dyDescent="0.3"/>
    <row r="3130" s="946" customFormat="1" x14ac:dyDescent="0.3"/>
    <row r="3131" s="946" customFormat="1" x14ac:dyDescent="0.3"/>
    <row r="3132" s="946" customFormat="1" x14ac:dyDescent="0.3"/>
    <row r="3133" s="946" customFormat="1" x14ac:dyDescent="0.3"/>
    <row r="3134" s="946" customFormat="1" x14ac:dyDescent="0.3"/>
    <row r="3135" s="946" customFormat="1" x14ac:dyDescent="0.3"/>
    <row r="3136" s="946" customFormat="1" x14ac:dyDescent="0.3"/>
    <row r="3137" s="946" customFormat="1" x14ac:dyDescent="0.3"/>
    <row r="3138" s="946" customFormat="1" x14ac:dyDescent="0.3"/>
    <row r="3139" s="946" customFormat="1" x14ac:dyDescent="0.3"/>
    <row r="3140" s="946" customFormat="1" x14ac:dyDescent="0.3"/>
    <row r="3141" s="946" customFormat="1" x14ac:dyDescent="0.3"/>
    <row r="3142" s="946" customFormat="1" x14ac:dyDescent="0.3"/>
    <row r="3143" s="946" customFormat="1" x14ac:dyDescent="0.3"/>
    <row r="3144" s="946" customFormat="1" x14ac:dyDescent="0.3"/>
    <row r="3145" s="946" customFormat="1" x14ac:dyDescent="0.3"/>
    <row r="3146" s="946" customFormat="1" x14ac:dyDescent="0.3"/>
    <row r="3147" s="946" customFormat="1" x14ac:dyDescent="0.3"/>
    <row r="3148" s="946" customFormat="1" x14ac:dyDescent="0.3"/>
    <row r="3149" s="946" customFormat="1" x14ac:dyDescent="0.3"/>
    <row r="3150" s="946" customFormat="1" x14ac:dyDescent="0.3"/>
    <row r="3151" s="946" customFormat="1" x14ac:dyDescent="0.3"/>
    <row r="3152" s="946" customFormat="1" x14ac:dyDescent="0.3"/>
    <row r="3153" s="946" customFormat="1" x14ac:dyDescent="0.3"/>
    <row r="3154" s="946" customFormat="1" x14ac:dyDescent="0.3"/>
    <row r="3155" s="946" customFormat="1" x14ac:dyDescent="0.3"/>
    <row r="3156" s="946" customFormat="1" x14ac:dyDescent="0.3"/>
    <row r="3157" s="946" customFormat="1" x14ac:dyDescent="0.3"/>
    <row r="3158" s="946" customFormat="1" x14ac:dyDescent="0.3"/>
    <row r="3159" s="946" customFormat="1" x14ac:dyDescent="0.3"/>
    <row r="3160" s="946" customFormat="1" x14ac:dyDescent="0.3"/>
    <row r="3161" s="946" customFormat="1" x14ac:dyDescent="0.3"/>
    <row r="3162" s="946" customFormat="1" x14ac:dyDescent="0.3"/>
    <row r="3163" s="946" customFormat="1" x14ac:dyDescent="0.3"/>
    <row r="3164" s="946" customFormat="1" x14ac:dyDescent="0.3"/>
    <row r="3165" s="946" customFormat="1" x14ac:dyDescent="0.3"/>
    <row r="3166" s="946" customFormat="1" x14ac:dyDescent="0.3"/>
    <row r="3167" s="946" customFormat="1" x14ac:dyDescent="0.3"/>
    <row r="3168" s="946" customFormat="1" x14ac:dyDescent="0.3"/>
    <row r="3169" s="946" customFormat="1" x14ac:dyDescent="0.3"/>
    <row r="3170" s="946" customFormat="1" x14ac:dyDescent="0.3"/>
    <row r="3171" s="946" customFormat="1" x14ac:dyDescent="0.3"/>
    <row r="3172" s="946" customFormat="1" x14ac:dyDescent="0.3"/>
    <row r="3173" s="946" customFormat="1" x14ac:dyDescent="0.3"/>
    <row r="3174" s="946" customFormat="1" x14ac:dyDescent="0.3"/>
    <row r="3175" s="946" customFormat="1" x14ac:dyDescent="0.3"/>
    <row r="3176" s="946" customFormat="1" x14ac:dyDescent="0.3"/>
    <row r="3177" s="946" customFormat="1" x14ac:dyDescent="0.3"/>
    <row r="3178" s="946" customFormat="1" x14ac:dyDescent="0.3"/>
    <row r="3179" s="946" customFormat="1" x14ac:dyDescent="0.3"/>
    <row r="3180" s="946" customFormat="1" x14ac:dyDescent="0.3"/>
    <row r="3181" s="946" customFormat="1" x14ac:dyDescent="0.3"/>
    <row r="3182" s="946" customFormat="1" x14ac:dyDescent="0.3"/>
    <row r="3183" s="946" customFormat="1" x14ac:dyDescent="0.3"/>
    <row r="3184" s="946" customFormat="1" x14ac:dyDescent="0.3"/>
    <row r="3185" s="946" customFormat="1" x14ac:dyDescent="0.3"/>
    <row r="3186" s="946" customFormat="1" x14ac:dyDescent="0.3"/>
    <row r="3187" s="946" customFormat="1" x14ac:dyDescent="0.3"/>
    <row r="3188" s="946" customFormat="1" x14ac:dyDescent="0.3"/>
    <row r="3189" s="946" customFormat="1" x14ac:dyDescent="0.3"/>
    <row r="3190" s="946" customFormat="1" x14ac:dyDescent="0.3"/>
    <row r="3191" s="946" customFormat="1" x14ac:dyDescent="0.3"/>
    <row r="3192" s="946" customFormat="1" x14ac:dyDescent="0.3"/>
    <row r="3193" s="946" customFormat="1" x14ac:dyDescent="0.3"/>
    <row r="3194" s="946" customFormat="1" x14ac:dyDescent="0.3"/>
    <row r="3195" s="946" customFormat="1" x14ac:dyDescent="0.3"/>
    <row r="3196" s="946" customFormat="1" x14ac:dyDescent="0.3"/>
    <row r="3197" s="946" customFormat="1" x14ac:dyDescent="0.3"/>
    <row r="3198" s="946" customFormat="1" x14ac:dyDescent="0.3"/>
    <row r="3199" s="946" customFormat="1" x14ac:dyDescent="0.3"/>
    <row r="3200" s="946" customFormat="1" x14ac:dyDescent="0.3"/>
    <row r="3201" s="946" customFormat="1" x14ac:dyDescent="0.3"/>
    <row r="3202" s="946" customFormat="1" x14ac:dyDescent="0.3"/>
    <row r="3203" s="946" customFormat="1" x14ac:dyDescent="0.3"/>
    <row r="3204" s="946" customFormat="1" x14ac:dyDescent="0.3"/>
    <row r="3205" s="946" customFormat="1" x14ac:dyDescent="0.3"/>
    <row r="3206" s="946" customFormat="1" x14ac:dyDescent="0.3"/>
    <row r="3207" s="946" customFormat="1" x14ac:dyDescent="0.3"/>
    <row r="3208" s="946" customFormat="1" x14ac:dyDescent="0.3"/>
    <row r="3209" s="946" customFormat="1" x14ac:dyDescent="0.3"/>
    <row r="3210" s="946" customFormat="1" x14ac:dyDescent="0.3"/>
    <row r="3211" s="946" customFormat="1" x14ac:dyDescent="0.3"/>
    <row r="3212" s="946" customFormat="1" x14ac:dyDescent="0.3"/>
    <row r="3213" s="946" customFormat="1" x14ac:dyDescent="0.3"/>
    <row r="3214" s="946" customFormat="1" x14ac:dyDescent="0.3"/>
    <row r="3215" s="946" customFormat="1" x14ac:dyDescent="0.3"/>
    <row r="3216" s="946" customFormat="1" x14ac:dyDescent="0.3"/>
    <row r="3217" s="946" customFormat="1" x14ac:dyDescent="0.3"/>
    <row r="3218" s="946" customFormat="1" x14ac:dyDescent="0.3"/>
    <row r="3219" s="946" customFormat="1" x14ac:dyDescent="0.3"/>
    <row r="3220" s="946" customFormat="1" x14ac:dyDescent="0.3"/>
    <row r="3221" s="946" customFormat="1" x14ac:dyDescent="0.3"/>
    <row r="3222" s="946" customFormat="1" x14ac:dyDescent="0.3"/>
    <row r="3223" s="946" customFormat="1" x14ac:dyDescent="0.3"/>
    <row r="3224" s="946" customFormat="1" x14ac:dyDescent="0.3"/>
    <row r="3225" s="946" customFormat="1" x14ac:dyDescent="0.3"/>
    <row r="3226" s="946" customFormat="1" x14ac:dyDescent="0.3"/>
    <row r="3227" s="946" customFormat="1" x14ac:dyDescent="0.3"/>
    <row r="3228" s="946" customFormat="1" x14ac:dyDescent="0.3"/>
    <row r="3229" s="946" customFormat="1" x14ac:dyDescent="0.3"/>
    <row r="3230" s="946" customFormat="1" x14ac:dyDescent="0.3"/>
    <row r="3231" s="946" customFormat="1" x14ac:dyDescent="0.3"/>
    <row r="3232" s="946" customFormat="1" x14ac:dyDescent="0.3"/>
    <row r="3233" s="946" customFormat="1" x14ac:dyDescent="0.3"/>
    <row r="3234" s="946" customFormat="1" x14ac:dyDescent="0.3"/>
    <row r="3235" s="946" customFormat="1" x14ac:dyDescent="0.3"/>
    <row r="3236" s="946" customFormat="1" x14ac:dyDescent="0.3"/>
    <row r="3237" s="946" customFormat="1" x14ac:dyDescent="0.3"/>
    <row r="3238" s="946" customFormat="1" x14ac:dyDescent="0.3"/>
    <row r="3239" s="946" customFormat="1" x14ac:dyDescent="0.3"/>
    <row r="3240" s="946" customFormat="1" x14ac:dyDescent="0.3"/>
    <row r="3241" s="946" customFormat="1" x14ac:dyDescent="0.3"/>
    <row r="3242" s="946" customFormat="1" x14ac:dyDescent="0.3"/>
    <row r="3243" s="946" customFormat="1" x14ac:dyDescent="0.3"/>
    <row r="3244" s="946" customFormat="1" x14ac:dyDescent="0.3"/>
    <row r="3245" s="946" customFormat="1" x14ac:dyDescent="0.3"/>
    <row r="3246" s="946" customFormat="1" x14ac:dyDescent="0.3"/>
    <row r="3247" s="946" customFormat="1" x14ac:dyDescent="0.3"/>
    <row r="3248" s="946" customFormat="1" x14ac:dyDescent="0.3"/>
    <row r="3249" s="946" customFormat="1" x14ac:dyDescent="0.3"/>
    <row r="3250" s="946" customFormat="1" x14ac:dyDescent="0.3"/>
    <row r="3251" s="946" customFormat="1" x14ac:dyDescent="0.3"/>
    <row r="3252" s="946" customFormat="1" x14ac:dyDescent="0.3"/>
    <row r="3253" s="946" customFormat="1" x14ac:dyDescent="0.3"/>
    <row r="3254" s="946" customFormat="1" x14ac:dyDescent="0.3"/>
    <row r="3255" s="946" customFormat="1" x14ac:dyDescent="0.3"/>
    <row r="3256" s="946" customFormat="1" x14ac:dyDescent="0.3"/>
    <row r="3257" s="946" customFormat="1" x14ac:dyDescent="0.3"/>
    <row r="3258" s="946" customFormat="1" x14ac:dyDescent="0.3"/>
    <row r="3259" s="946" customFormat="1" x14ac:dyDescent="0.3"/>
    <row r="3260" s="946" customFormat="1" x14ac:dyDescent="0.3"/>
    <row r="3261" s="946" customFormat="1" x14ac:dyDescent="0.3"/>
    <row r="3262" s="946" customFormat="1" x14ac:dyDescent="0.3"/>
    <row r="3263" s="946" customFormat="1" x14ac:dyDescent="0.3"/>
    <row r="3264" s="946" customFormat="1" x14ac:dyDescent="0.3"/>
    <row r="3265" s="946" customFormat="1" x14ac:dyDescent="0.3"/>
    <row r="3266" s="946" customFormat="1" x14ac:dyDescent="0.3"/>
    <row r="3267" s="946" customFormat="1" x14ac:dyDescent="0.3"/>
    <row r="3268" s="946" customFormat="1" x14ac:dyDescent="0.3"/>
    <row r="3269" s="946" customFormat="1" x14ac:dyDescent="0.3"/>
    <row r="3270" s="946" customFormat="1" x14ac:dyDescent="0.3"/>
    <row r="3271" s="946" customFormat="1" x14ac:dyDescent="0.3"/>
    <row r="3272" s="946" customFormat="1" x14ac:dyDescent="0.3"/>
    <row r="3273" s="946" customFormat="1" x14ac:dyDescent="0.3"/>
    <row r="3274" s="946" customFormat="1" x14ac:dyDescent="0.3"/>
    <row r="3275" s="946" customFormat="1" x14ac:dyDescent="0.3"/>
    <row r="3276" s="946" customFormat="1" x14ac:dyDescent="0.3"/>
    <row r="3277" s="946" customFormat="1" x14ac:dyDescent="0.3"/>
    <row r="3278" s="946" customFormat="1" x14ac:dyDescent="0.3"/>
    <row r="3279" s="946" customFormat="1" x14ac:dyDescent="0.3"/>
    <row r="3280" s="946" customFormat="1" x14ac:dyDescent="0.3"/>
    <row r="3281" s="946" customFormat="1" x14ac:dyDescent="0.3"/>
    <row r="3282" s="946" customFormat="1" x14ac:dyDescent="0.3"/>
    <row r="3283" s="946" customFormat="1" x14ac:dyDescent="0.3"/>
    <row r="3284" s="946" customFormat="1" x14ac:dyDescent="0.3"/>
    <row r="3285" s="946" customFormat="1" x14ac:dyDescent="0.3"/>
    <row r="3286" s="946" customFormat="1" x14ac:dyDescent="0.3"/>
    <row r="3287" s="946" customFormat="1" x14ac:dyDescent="0.3"/>
    <row r="3288" s="946" customFormat="1" x14ac:dyDescent="0.3"/>
    <row r="3289" s="946" customFormat="1" x14ac:dyDescent="0.3"/>
    <row r="3290" s="946" customFormat="1" x14ac:dyDescent="0.3"/>
    <row r="3291" s="946" customFormat="1" x14ac:dyDescent="0.3"/>
    <row r="3292" s="946" customFormat="1" x14ac:dyDescent="0.3"/>
    <row r="3293" s="946" customFormat="1" x14ac:dyDescent="0.3"/>
    <row r="3294" s="946" customFormat="1" x14ac:dyDescent="0.3"/>
    <row r="3295" s="946" customFormat="1" x14ac:dyDescent="0.3"/>
    <row r="3296" s="946" customFormat="1" x14ac:dyDescent="0.3"/>
    <row r="3297" s="946" customFormat="1" x14ac:dyDescent="0.3"/>
    <row r="3298" s="946" customFormat="1" x14ac:dyDescent="0.3"/>
    <row r="3299" s="946" customFormat="1" x14ac:dyDescent="0.3"/>
    <row r="3300" s="946" customFormat="1" x14ac:dyDescent="0.3"/>
    <row r="3301" s="946" customFormat="1" x14ac:dyDescent="0.3"/>
    <row r="3302" s="946" customFormat="1" x14ac:dyDescent="0.3"/>
    <row r="3303" s="946" customFormat="1" x14ac:dyDescent="0.3"/>
    <row r="3304" s="946" customFormat="1" x14ac:dyDescent="0.3"/>
    <row r="3305" s="946" customFormat="1" x14ac:dyDescent="0.3"/>
    <row r="3306" s="946" customFormat="1" x14ac:dyDescent="0.3"/>
    <row r="3307" s="946" customFormat="1" x14ac:dyDescent="0.3"/>
    <row r="3308" s="946" customFormat="1" x14ac:dyDescent="0.3"/>
    <row r="3309" s="946" customFormat="1" x14ac:dyDescent="0.3"/>
    <row r="3310" s="946" customFormat="1" x14ac:dyDescent="0.3"/>
    <row r="3311" s="946" customFormat="1" x14ac:dyDescent="0.3"/>
    <row r="3312" s="946" customFormat="1" x14ac:dyDescent="0.3"/>
    <row r="3313" s="946" customFormat="1" x14ac:dyDescent="0.3"/>
    <row r="3314" s="946" customFormat="1" x14ac:dyDescent="0.3"/>
    <row r="3315" s="946" customFormat="1" x14ac:dyDescent="0.3"/>
    <row r="3316" s="946" customFormat="1" x14ac:dyDescent="0.3"/>
    <row r="3317" s="946" customFormat="1" x14ac:dyDescent="0.3"/>
    <row r="3318" s="946" customFormat="1" x14ac:dyDescent="0.3"/>
    <row r="3319" s="946" customFormat="1" x14ac:dyDescent="0.3"/>
    <row r="3320" s="946" customFormat="1" x14ac:dyDescent="0.3"/>
    <row r="3321" s="946" customFormat="1" x14ac:dyDescent="0.3"/>
    <row r="3322" s="946" customFormat="1" x14ac:dyDescent="0.3"/>
    <row r="3323" s="946" customFormat="1" x14ac:dyDescent="0.3"/>
    <row r="3324" s="946" customFormat="1" x14ac:dyDescent="0.3"/>
    <row r="3325" s="946" customFormat="1" x14ac:dyDescent="0.3"/>
    <row r="3326" s="946" customFormat="1" x14ac:dyDescent="0.3"/>
    <row r="3327" s="946" customFormat="1" x14ac:dyDescent="0.3"/>
    <row r="3328" s="946" customFormat="1" x14ac:dyDescent="0.3"/>
    <row r="3329" s="946" customFormat="1" x14ac:dyDescent="0.3"/>
    <row r="3330" s="946" customFormat="1" x14ac:dyDescent="0.3"/>
    <row r="3331" s="946" customFormat="1" x14ac:dyDescent="0.3"/>
    <row r="3332" s="946" customFormat="1" x14ac:dyDescent="0.3"/>
    <row r="3333" s="946" customFormat="1" x14ac:dyDescent="0.3"/>
    <row r="3334" s="946" customFormat="1" x14ac:dyDescent="0.3"/>
    <row r="3335" s="946" customFormat="1" x14ac:dyDescent="0.3"/>
    <row r="3336" s="946" customFormat="1" x14ac:dyDescent="0.3"/>
    <row r="3337" s="946" customFormat="1" x14ac:dyDescent="0.3"/>
    <row r="3338" s="946" customFormat="1" x14ac:dyDescent="0.3"/>
    <row r="3339" s="946" customFormat="1" x14ac:dyDescent="0.3"/>
    <row r="3340" s="946" customFormat="1" x14ac:dyDescent="0.3"/>
    <row r="3341" s="946" customFormat="1" x14ac:dyDescent="0.3"/>
    <row r="3342" s="946" customFormat="1" x14ac:dyDescent="0.3"/>
    <row r="3343" s="946" customFormat="1" x14ac:dyDescent="0.3"/>
    <row r="3344" s="946" customFormat="1" x14ac:dyDescent="0.3"/>
    <row r="3345" s="946" customFormat="1" x14ac:dyDescent="0.3"/>
    <row r="3346" s="946" customFormat="1" x14ac:dyDescent="0.3"/>
    <row r="3347" s="946" customFormat="1" x14ac:dyDescent="0.3"/>
    <row r="3348" s="946" customFormat="1" x14ac:dyDescent="0.3"/>
    <row r="3349" s="946" customFormat="1" x14ac:dyDescent="0.3"/>
    <row r="3350" s="946" customFormat="1" x14ac:dyDescent="0.3"/>
    <row r="3351" s="946" customFormat="1" x14ac:dyDescent="0.3"/>
    <row r="3352" s="946" customFormat="1" x14ac:dyDescent="0.3"/>
    <row r="3353" s="946" customFormat="1" x14ac:dyDescent="0.3"/>
    <row r="3354" s="946" customFormat="1" x14ac:dyDescent="0.3"/>
    <row r="3355" s="946" customFormat="1" x14ac:dyDescent="0.3"/>
    <row r="3356" s="946" customFormat="1" x14ac:dyDescent="0.3"/>
    <row r="3357" s="946" customFormat="1" x14ac:dyDescent="0.3"/>
    <row r="3358" s="946" customFormat="1" x14ac:dyDescent="0.3"/>
    <row r="3359" s="946" customFormat="1" x14ac:dyDescent="0.3"/>
    <row r="3360" s="946" customFormat="1" x14ac:dyDescent="0.3"/>
    <row r="3361" s="946" customFormat="1" x14ac:dyDescent="0.3"/>
    <row r="3362" s="946" customFormat="1" x14ac:dyDescent="0.3"/>
    <row r="3363" s="946" customFormat="1" x14ac:dyDescent="0.3"/>
    <row r="3364" s="946" customFormat="1" x14ac:dyDescent="0.3"/>
    <row r="3365" s="946" customFormat="1" x14ac:dyDescent="0.3"/>
    <row r="3366" s="946" customFormat="1" x14ac:dyDescent="0.3"/>
    <row r="3367" s="946" customFormat="1" x14ac:dyDescent="0.3"/>
    <row r="3368" s="946" customFormat="1" x14ac:dyDescent="0.3"/>
    <row r="3369" s="946" customFormat="1" x14ac:dyDescent="0.3"/>
    <row r="3370" s="946" customFormat="1" x14ac:dyDescent="0.3"/>
    <row r="3371" s="946" customFormat="1" x14ac:dyDescent="0.3"/>
    <row r="3372" s="946" customFormat="1" x14ac:dyDescent="0.3"/>
    <row r="3373" s="946" customFormat="1" x14ac:dyDescent="0.3"/>
    <row r="3374" s="946" customFormat="1" x14ac:dyDescent="0.3"/>
    <row r="3375" s="946" customFormat="1" x14ac:dyDescent="0.3"/>
    <row r="3376" s="946" customFormat="1" x14ac:dyDescent="0.3"/>
    <row r="3377" s="946" customFormat="1" x14ac:dyDescent="0.3"/>
    <row r="3378" s="946" customFormat="1" x14ac:dyDescent="0.3"/>
    <row r="3379" s="946" customFormat="1" x14ac:dyDescent="0.3"/>
    <row r="3380" s="946" customFormat="1" x14ac:dyDescent="0.3"/>
    <row r="3381" s="946" customFormat="1" x14ac:dyDescent="0.3"/>
    <row r="3382" s="946" customFormat="1" x14ac:dyDescent="0.3"/>
    <row r="3383" s="946" customFormat="1" x14ac:dyDescent="0.3"/>
    <row r="3384" s="946" customFormat="1" x14ac:dyDescent="0.3"/>
    <row r="3385" s="946" customFormat="1" x14ac:dyDescent="0.3"/>
    <row r="3386" s="946" customFormat="1" x14ac:dyDescent="0.3"/>
    <row r="3387" s="946" customFormat="1" x14ac:dyDescent="0.3"/>
    <row r="3388" s="946" customFormat="1" x14ac:dyDescent="0.3"/>
    <row r="3389" s="946" customFormat="1" x14ac:dyDescent="0.3"/>
    <row r="3390" s="946" customFormat="1" x14ac:dyDescent="0.3"/>
    <row r="3391" s="946" customFormat="1" x14ac:dyDescent="0.3"/>
    <row r="3392" s="946" customFormat="1" x14ac:dyDescent="0.3"/>
    <row r="3393" s="946" customFormat="1" x14ac:dyDescent="0.3"/>
    <row r="3394" s="946" customFormat="1" x14ac:dyDescent="0.3"/>
    <row r="3395" s="946" customFormat="1" x14ac:dyDescent="0.3"/>
    <row r="3396" s="946" customFormat="1" x14ac:dyDescent="0.3"/>
    <row r="3397" s="946" customFormat="1" x14ac:dyDescent="0.3"/>
    <row r="3398" s="946" customFormat="1" x14ac:dyDescent="0.3"/>
    <row r="3399" s="946" customFormat="1" x14ac:dyDescent="0.3"/>
    <row r="3400" s="946" customFormat="1" x14ac:dyDescent="0.3"/>
    <row r="3401" s="946" customFormat="1" x14ac:dyDescent="0.3"/>
    <row r="3402" s="946" customFormat="1" x14ac:dyDescent="0.3"/>
    <row r="3403" s="946" customFormat="1" x14ac:dyDescent="0.3"/>
    <row r="3404" s="946" customFormat="1" x14ac:dyDescent="0.3"/>
    <row r="3405" s="946" customFormat="1" x14ac:dyDescent="0.3"/>
    <row r="3406" s="946" customFormat="1" x14ac:dyDescent="0.3"/>
    <row r="3407" s="946" customFormat="1" x14ac:dyDescent="0.3"/>
    <row r="3408" s="946" customFormat="1" x14ac:dyDescent="0.3"/>
    <row r="3409" s="946" customFormat="1" x14ac:dyDescent="0.3"/>
    <row r="3410" s="946" customFormat="1" x14ac:dyDescent="0.3"/>
    <row r="3411" s="946" customFormat="1" x14ac:dyDescent="0.3"/>
    <row r="3412" s="946" customFormat="1" x14ac:dyDescent="0.3"/>
    <row r="3413" s="946" customFormat="1" x14ac:dyDescent="0.3"/>
    <row r="3414" s="946" customFormat="1" x14ac:dyDescent="0.3"/>
    <row r="3415" s="946" customFormat="1" x14ac:dyDescent="0.3"/>
    <row r="3416" s="946" customFormat="1" x14ac:dyDescent="0.3"/>
    <row r="3417" s="946" customFormat="1" x14ac:dyDescent="0.3"/>
    <row r="3418" s="946" customFormat="1" x14ac:dyDescent="0.3"/>
    <row r="3419" s="946" customFormat="1" x14ac:dyDescent="0.3"/>
    <row r="3420" s="946" customFormat="1" x14ac:dyDescent="0.3"/>
    <row r="3421" s="946" customFormat="1" x14ac:dyDescent="0.3"/>
    <row r="3422" s="946" customFormat="1" x14ac:dyDescent="0.3"/>
    <row r="3423" s="946" customFormat="1" x14ac:dyDescent="0.3"/>
    <row r="3424" s="946" customFormat="1" x14ac:dyDescent="0.3"/>
    <row r="3425" s="946" customFormat="1" x14ac:dyDescent="0.3"/>
    <row r="3426" s="946" customFormat="1" x14ac:dyDescent="0.3"/>
    <row r="3427" s="946" customFormat="1" x14ac:dyDescent="0.3"/>
    <row r="3428" s="946" customFormat="1" x14ac:dyDescent="0.3"/>
    <row r="3429" s="946" customFormat="1" x14ac:dyDescent="0.3"/>
    <row r="3430" s="946" customFormat="1" x14ac:dyDescent="0.3"/>
    <row r="3431" s="946" customFormat="1" x14ac:dyDescent="0.3"/>
    <row r="3432" s="946" customFormat="1" x14ac:dyDescent="0.3"/>
    <row r="3433" s="946" customFormat="1" x14ac:dyDescent="0.3"/>
    <row r="3434" s="946" customFormat="1" x14ac:dyDescent="0.3"/>
    <row r="3435" s="946" customFormat="1" x14ac:dyDescent="0.3"/>
    <row r="3436" s="946" customFormat="1" x14ac:dyDescent="0.3"/>
    <row r="3437" s="946" customFormat="1" x14ac:dyDescent="0.3"/>
    <row r="3438" s="946" customFormat="1" x14ac:dyDescent="0.3"/>
    <row r="3439" s="946" customFormat="1" x14ac:dyDescent="0.3"/>
    <row r="3440" s="946" customFormat="1" x14ac:dyDescent="0.3"/>
    <row r="3441" s="946" customFormat="1" x14ac:dyDescent="0.3"/>
    <row r="3442" s="946" customFormat="1" x14ac:dyDescent="0.3"/>
    <row r="3443" s="946" customFormat="1" x14ac:dyDescent="0.3"/>
    <row r="3444" s="946" customFormat="1" x14ac:dyDescent="0.3"/>
    <row r="3445" s="946" customFormat="1" x14ac:dyDescent="0.3"/>
    <row r="3446" s="946" customFormat="1" x14ac:dyDescent="0.3"/>
    <row r="3447" s="946" customFormat="1" x14ac:dyDescent="0.3"/>
    <row r="3448" s="946" customFormat="1" x14ac:dyDescent="0.3"/>
    <row r="3449" s="946" customFormat="1" x14ac:dyDescent="0.3"/>
    <row r="3450" s="946" customFormat="1" x14ac:dyDescent="0.3"/>
    <row r="3451" s="946" customFormat="1" x14ac:dyDescent="0.3"/>
    <row r="3452" s="946" customFormat="1" x14ac:dyDescent="0.3"/>
    <row r="3453" s="946" customFormat="1" x14ac:dyDescent="0.3"/>
    <row r="3454" s="946" customFormat="1" x14ac:dyDescent="0.3"/>
    <row r="3455" s="946" customFormat="1" x14ac:dyDescent="0.3"/>
    <row r="3456" s="946" customFormat="1" x14ac:dyDescent="0.3"/>
    <row r="3457" s="946" customFormat="1" x14ac:dyDescent="0.3"/>
    <row r="3458" s="946" customFormat="1" x14ac:dyDescent="0.3"/>
    <row r="3459" s="946" customFormat="1" x14ac:dyDescent="0.3"/>
    <row r="3460" s="946" customFormat="1" x14ac:dyDescent="0.3"/>
    <row r="3461" s="946" customFormat="1" x14ac:dyDescent="0.3"/>
    <row r="3462" s="946" customFormat="1" x14ac:dyDescent="0.3"/>
    <row r="3463" s="946" customFormat="1" x14ac:dyDescent="0.3"/>
    <row r="3464" s="946" customFormat="1" x14ac:dyDescent="0.3"/>
    <row r="3465" s="946" customFormat="1" x14ac:dyDescent="0.3"/>
    <row r="3466" s="946" customFormat="1" x14ac:dyDescent="0.3"/>
    <row r="3467" s="946" customFormat="1" x14ac:dyDescent="0.3"/>
    <row r="3468" s="946" customFormat="1" x14ac:dyDescent="0.3"/>
    <row r="3469" s="946" customFormat="1" x14ac:dyDescent="0.3"/>
    <row r="3470" s="946" customFormat="1" x14ac:dyDescent="0.3"/>
    <row r="3471" s="946" customFormat="1" x14ac:dyDescent="0.3"/>
    <row r="3472" s="946" customFormat="1" x14ac:dyDescent="0.3"/>
    <row r="3473" s="946" customFormat="1" x14ac:dyDescent="0.3"/>
    <row r="3474" s="946" customFormat="1" x14ac:dyDescent="0.3"/>
    <row r="3475" s="946" customFormat="1" x14ac:dyDescent="0.3"/>
    <row r="3476" s="946" customFormat="1" x14ac:dyDescent="0.3"/>
    <row r="3477" s="946" customFormat="1" x14ac:dyDescent="0.3"/>
    <row r="3478" s="946" customFormat="1" x14ac:dyDescent="0.3"/>
    <row r="3479" s="946" customFormat="1" x14ac:dyDescent="0.3"/>
    <row r="3480" s="946" customFormat="1" x14ac:dyDescent="0.3"/>
    <row r="3481" s="946" customFormat="1" x14ac:dyDescent="0.3"/>
    <row r="3482" s="946" customFormat="1" x14ac:dyDescent="0.3"/>
    <row r="3483" s="946" customFormat="1" x14ac:dyDescent="0.3"/>
    <row r="3484" s="946" customFormat="1" x14ac:dyDescent="0.3"/>
    <row r="3485" s="946" customFormat="1" x14ac:dyDescent="0.3"/>
    <row r="3486" s="946" customFormat="1" x14ac:dyDescent="0.3"/>
    <row r="3487" s="946" customFormat="1" x14ac:dyDescent="0.3"/>
    <row r="3488" s="946" customFormat="1" x14ac:dyDescent="0.3"/>
    <row r="3489" s="946" customFormat="1" x14ac:dyDescent="0.3"/>
    <row r="3490" s="946" customFormat="1" x14ac:dyDescent="0.3"/>
    <row r="3491" s="946" customFormat="1" x14ac:dyDescent="0.3"/>
    <row r="3492" s="946" customFormat="1" x14ac:dyDescent="0.3"/>
    <row r="3493" s="946" customFormat="1" x14ac:dyDescent="0.3"/>
    <row r="3494" s="946" customFormat="1" x14ac:dyDescent="0.3"/>
    <row r="3495" s="946" customFormat="1" x14ac:dyDescent="0.3"/>
    <row r="3496" s="946" customFormat="1" x14ac:dyDescent="0.3"/>
    <row r="3497" s="946" customFormat="1" x14ac:dyDescent="0.3"/>
    <row r="3498" s="946" customFormat="1" x14ac:dyDescent="0.3"/>
    <row r="3499" s="946" customFormat="1" x14ac:dyDescent="0.3"/>
    <row r="3500" s="946" customFormat="1" x14ac:dyDescent="0.3"/>
    <row r="3501" s="946" customFormat="1" x14ac:dyDescent="0.3"/>
    <row r="3502" s="946" customFormat="1" x14ac:dyDescent="0.3"/>
    <row r="3503" s="946" customFormat="1" x14ac:dyDescent="0.3"/>
    <row r="3504" s="946" customFormat="1" x14ac:dyDescent="0.3"/>
    <row r="3505" s="946" customFormat="1" x14ac:dyDescent="0.3"/>
    <row r="3506" s="946" customFormat="1" x14ac:dyDescent="0.3"/>
    <row r="3507" s="946" customFormat="1" x14ac:dyDescent="0.3"/>
    <row r="3508" s="946" customFormat="1" x14ac:dyDescent="0.3"/>
    <row r="3509" s="946" customFormat="1" x14ac:dyDescent="0.3"/>
    <row r="3510" s="946" customFormat="1" x14ac:dyDescent="0.3"/>
    <row r="3511" s="946" customFormat="1" x14ac:dyDescent="0.3"/>
    <row r="3512" s="946" customFormat="1" x14ac:dyDescent="0.3"/>
    <row r="3513" s="946" customFormat="1" x14ac:dyDescent="0.3"/>
    <row r="3514" s="946" customFormat="1" x14ac:dyDescent="0.3"/>
    <row r="3515" s="946" customFormat="1" x14ac:dyDescent="0.3"/>
    <row r="3516" s="946" customFormat="1" x14ac:dyDescent="0.3"/>
    <row r="3517" s="946" customFormat="1" x14ac:dyDescent="0.3"/>
    <row r="3518" s="946" customFormat="1" x14ac:dyDescent="0.3"/>
    <row r="3519" s="946" customFormat="1" x14ac:dyDescent="0.3"/>
    <row r="3520" s="946" customFormat="1" x14ac:dyDescent="0.3"/>
    <row r="3521" s="946" customFormat="1" x14ac:dyDescent="0.3"/>
    <row r="3522" s="946" customFormat="1" x14ac:dyDescent="0.3"/>
    <row r="3523" s="946" customFormat="1" x14ac:dyDescent="0.3"/>
    <row r="3524" s="946" customFormat="1" x14ac:dyDescent="0.3"/>
    <row r="3525" s="946" customFormat="1" x14ac:dyDescent="0.3"/>
    <row r="3526" s="946" customFormat="1" x14ac:dyDescent="0.3"/>
    <row r="3527" s="946" customFormat="1" x14ac:dyDescent="0.3"/>
    <row r="3528" s="946" customFormat="1" x14ac:dyDescent="0.3"/>
    <row r="3529" s="946" customFormat="1" x14ac:dyDescent="0.3"/>
    <row r="3530" s="946" customFormat="1" x14ac:dyDescent="0.3"/>
    <row r="3531" s="946" customFormat="1" x14ac:dyDescent="0.3"/>
    <row r="3532" s="946" customFormat="1" x14ac:dyDescent="0.3"/>
    <row r="3533" s="946" customFormat="1" x14ac:dyDescent="0.3"/>
    <row r="3534" s="946" customFormat="1" x14ac:dyDescent="0.3"/>
    <row r="3535" s="946" customFormat="1" x14ac:dyDescent="0.3"/>
    <row r="3536" s="946" customFormat="1" x14ac:dyDescent="0.3"/>
    <row r="3537" s="946" customFormat="1" x14ac:dyDescent="0.3"/>
    <row r="3538" s="946" customFormat="1" x14ac:dyDescent="0.3"/>
    <row r="3539" s="946" customFormat="1" x14ac:dyDescent="0.3"/>
    <row r="3540" s="946" customFormat="1" x14ac:dyDescent="0.3"/>
    <row r="3541" s="946" customFormat="1" x14ac:dyDescent="0.3"/>
    <row r="3542" s="946" customFormat="1" x14ac:dyDescent="0.3"/>
    <row r="3543" s="946" customFormat="1" x14ac:dyDescent="0.3"/>
    <row r="3544" s="946" customFormat="1" x14ac:dyDescent="0.3"/>
    <row r="3545" s="946" customFormat="1" x14ac:dyDescent="0.3"/>
    <row r="3546" s="946" customFormat="1" x14ac:dyDescent="0.3"/>
    <row r="3547" s="946" customFormat="1" x14ac:dyDescent="0.3"/>
    <row r="3548" s="946" customFormat="1" x14ac:dyDescent="0.3"/>
    <row r="3549" s="946" customFormat="1" x14ac:dyDescent="0.3"/>
    <row r="3550" s="946" customFormat="1" x14ac:dyDescent="0.3"/>
    <row r="3551" s="946" customFormat="1" x14ac:dyDescent="0.3"/>
    <row r="3552" s="946" customFormat="1" x14ac:dyDescent="0.3"/>
    <row r="3553" s="946" customFormat="1" x14ac:dyDescent="0.3"/>
    <row r="3554" s="946" customFormat="1" x14ac:dyDescent="0.3"/>
    <row r="3555" s="946" customFormat="1" x14ac:dyDescent="0.3"/>
    <row r="3556" s="946" customFormat="1" x14ac:dyDescent="0.3"/>
    <row r="3557" s="946" customFormat="1" x14ac:dyDescent="0.3"/>
    <row r="3558" s="946" customFormat="1" x14ac:dyDescent="0.3"/>
    <row r="3559" s="946" customFormat="1" x14ac:dyDescent="0.3"/>
    <row r="3560" s="946" customFormat="1" x14ac:dyDescent="0.3"/>
    <row r="3561" s="946" customFormat="1" x14ac:dyDescent="0.3"/>
    <row r="3562" s="946" customFormat="1" x14ac:dyDescent="0.3"/>
    <row r="3563" s="946" customFormat="1" x14ac:dyDescent="0.3"/>
    <row r="3564" s="946" customFormat="1" x14ac:dyDescent="0.3"/>
    <row r="3565" s="946" customFormat="1" x14ac:dyDescent="0.3"/>
    <row r="3566" s="946" customFormat="1" x14ac:dyDescent="0.3"/>
    <row r="3567" s="946" customFormat="1" x14ac:dyDescent="0.3"/>
    <row r="3568" s="946" customFormat="1" x14ac:dyDescent="0.3"/>
    <row r="3569" s="946" customFormat="1" x14ac:dyDescent="0.3"/>
    <row r="3570" s="946" customFormat="1" x14ac:dyDescent="0.3"/>
    <row r="3571" s="946" customFormat="1" x14ac:dyDescent="0.3"/>
    <row r="3572" s="946" customFormat="1" x14ac:dyDescent="0.3"/>
    <row r="3573" s="946" customFormat="1" x14ac:dyDescent="0.3"/>
    <row r="3574" s="946" customFormat="1" x14ac:dyDescent="0.3"/>
    <row r="3575" s="946" customFormat="1" x14ac:dyDescent="0.3"/>
    <row r="3576" s="946" customFormat="1" x14ac:dyDescent="0.3"/>
    <row r="3577" s="946" customFormat="1" x14ac:dyDescent="0.3"/>
    <row r="3578" s="946" customFormat="1" x14ac:dyDescent="0.3"/>
    <row r="3579" s="946" customFormat="1" x14ac:dyDescent="0.3"/>
    <row r="3580" s="946" customFormat="1" x14ac:dyDescent="0.3"/>
    <row r="3581" s="946" customFormat="1" x14ac:dyDescent="0.3"/>
    <row r="3582" s="946" customFormat="1" x14ac:dyDescent="0.3"/>
    <row r="3583" s="946" customFormat="1" x14ac:dyDescent="0.3"/>
    <row r="3584" s="946" customFormat="1" x14ac:dyDescent="0.3"/>
    <row r="3585" s="946" customFormat="1" x14ac:dyDescent="0.3"/>
    <row r="3586" s="946" customFormat="1" x14ac:dyDescent="0.3"/>
    <row r="3587" s="946" customFormat="1" x14ac:dyDescent="0.3"/>
    <row r="3588" s="946" customFormat="1" x14ac:dyDescent="0.3"/>
    <row r="3589" s="946" customFormat="1" x14ac:dyDescent="0.3"/>
  </sheetData>
  <sheetProtection algorithmName="SHA-512" hashValue="9sexpDI0uLKoS9y0rUz0Q90Ctd4/DQZf9oeyDCGirJU5ZM/igCnXw6Tse0lASDDatVVlqIMZJgJ3fOWcl4HIig==" saltValue="0THZj28DnLe8SiFHwCb17w==" spinCount="100000" sheet="1" formatCells="0" formatColumns="0" formatRows="0" insertColumns="0" insertRows="0" insertHyperlinks="0" deleteColumns="0" deleteRows="0" sort="0" autoFilter="0" pivotTables="0"/>
  <mergeCells count="91">
    <mergeCell ref="R44:R45"/>
    <mergeCell ref="S44:S45"/>
    <mergeCell ref="K44:K45"/>
    <mergeCell ref="L44:L45"/>
    <mergeCell ref="B62:S63"/>
    <mergeCell ref="N50:N51"/>
    <mergeCell ref="O50:O51"/>
    <mergeCell ref="P50:P51"/>
    <mergeCell ref="Q50:Q51"/>
    <mergeCell ref="R50:R51"/>
    <mergeCell ref="S50:S51"/>
    <mergeCell ref="J50:J51"/>
    <mergeCell ref="K50:K51"/>
    <mergeCell ref="L50:L51"/>
    <mergeCell ref="M50:M51"/>
    <mergeCell ref="Q44:Q45"/>
    <mergeCell ref="E50:E51"/>
    <mergeCell ref="F50:F51"/>
    <mergeCell ref="G50:G51"/>
    <mergeCell ref="H50:H51"/>
    <mergeCell ref="I50:I51"/>
    <mergeCell ref="M44:M45"/>
    <mergeCell ref="N44:N45"/>
    <mergeCell ref="O44:O45"/>
    <mergeCell ref="P44:P45"/>
    <mergeCell ref="E44:E45"/>
    <mergeCell ref="F44:F45"/>
    <mergeCell ref="G44:G45"/>
    <mergeCell ref="H44:H45"/>
    <mergeCell ref="I44:I45"/>
    <mergeCell ref="J44:J45"/>
    <mergeCell ref="S23:S24"/>
    <mergeCell ref="K23:K24"/>
    <mergeCell ref="L23:L24"/>
    <mergeCell ref="S33:S34"/>
    <mergeCell ref="M33:M34"/>
    <mergeCell ref="N33:N34"/>
    <mergeCell ref="O33:O34"/>
    <mergeCell ref="P33:P34"/>
    <mergeCell ref="Q33:Q34"/>
    <mergeCell ref="R33:R34"/>
    <mergeCell ref="J33:J34"/>
    <mergeCell ref="K33:K34"/>
    <mergeCell ref="L33:L34"/>
    <mergeCell ref="Q23:Q24"/>
    <mergeCell ref="R23:R24"/>
    <mergeCell ref="M23:M24"/>
    <mergeCell ref="N23:N24"/>
    <mergeCell ref="O23:O24"/>
    <mergeCell ref="P23:P24"/>
    <mergeCell ref="J23:J24"/>
    <mergeCell ref="E33:E34"/>
    <mergeCell ref="F33:F34"/>
    <mergeCell ref="G33:G34"/>
    <mergeCell ref="H33:H34"/>
    <mergeCell ref="I33:I34"/>
    <mergeCell ref="E23:E24"/>
    <mergeCell ref="F23:F24"/>
    <mergeCell ref="G23:G24"/>
    <mergeCell ref="H23:H24"/>
    <mergeCell ref="I23:I24"/>
    <mergeCell ref="S2:S3"/>
    <mergeCell ref="K2:K3"/>
    <mergeCell ref="L2:L3"/>
    <mergeCell ref="S12:S13"/>
    <mergeCell ref="M12:M13"/>
    <mergeCell ref="N12:N13"/>
    <mergeCell ref="O12:O13"/>
    <mergeCell ref="P12:P13"/>
    <mergeCell ref="Q12:Q13"/>
    <mergeCell ref="R12:R13"/>
    <mergeCell ref="J12:J13"/>
    <mergeCell ref="K12:K13"/>
    <mergeCell ref="L12:L13"/>
    <mergeCell ref="Q2:Q3"/>
    <mergeCell ref="R2:R3"/>
    <mergeCell ref="M2:M3"/>
    <mergeCell ref="N2:N3"/>
    <mergeCell ref="O2:O3"/>
    <mergeCell ref="P2:P3"/>
    <mergeCell ref="J2:J3"/>
    <mergeCell ref="E12:E13"/>
    <mergeCell ref="F12:F13"/>
    <mergeCell ref="G12:G13"/>
    <mergeCell ref="H12:H13"/>
    <mergeCell ref="I12:I13"/>
    <mergeCell ref="E2:E3"/>
    <mergeCell ref="F2:F3"/>
    <mergeCell ref="G2:G3"/>
    <mergeCell ref="H2:H3"/>
    <mergeCell ref="I2:I3"/>
  </mergeCells>
  <pageMargins left="0.1931496062992126" right="0.19685039370078741" top="0.79000000000000015" bottom="0.79000000000000015" header="0.39000000000000007" footer="0.39000000000000007"/>
  <pageSetup paperSize="9" scale="54" fitToHeight="0" orientation="landscape" r:id="rId1"/>
  <headerFooter alignWithMargins="0">
    <oddFooter>&amp;L&amp;A&amp;C25.2.2013</oddFooter>
  </headerFooter>
  <rowBreaks count="1" manualBreakCount="1">
    <brk id="66" min="1" max="29" man="1"/>
  </rowBreaks>
  <ignoredErrors>
    <ignoredError sqref="E17:S19 E7:S14 E5:S6 E15:S16 E26:S30 E36:S41" unlockedFormula="1"/>
    <ignoredError sqref="C24"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2">
    <pageSetUpPr fitToPage="1"/>
  </sheetPr>
  <dimension ref="A1:AI135"/>
  <sheetViews>
    <sheetView defaultGridColor="0" colorId="23" zoomScale="80" zoomScaleNormal="80" workbookViewId="0"/>
  </sheetViews>
  <sheetFormatPr defaultColWidth="9.140625" defaultRowHeight="11.25" x14ac:dyDescent="0.2"/>
  <cols>
    <col min="1" max="1" width="2.7109375" style="4" customWidth="1"/>
    <col min="2" max="2" width="5.7109375" style="4" customWidth="1"/>
    <col min="3" max="3" width="56.42578125" style="4" customWidth="1"/>
    <col min="4" max="4" width="13.85546875" style="4" customWidth="1"/>
    <col min="5" max="7" width="10.7109375" style="4" customWidth="1"/>
    <col min="8" max="8" width="11.5703125" style="4" customWidth="1"/>
    <col min="9" max="19" width="10.7109375" style="4" customWidth="1"/>
    <col min="20" max="29" width="10.85546875" style="4" customWidth="1"/>
    <col min="30" max="35" width="8.7109375" style="4" bestFit="1" customWidth="1"/>
    <col min="36" max="16384" width="9.140625" style="4"/>
  </cols>
  <sheetData>
    <row r="1" spans="1:35" ht="14.25" thickBot="1" x14ac:dyDescent="0.35">
      <c r="A1" s="207"/>
      <c r="B1" s="25"/>
      <c r="C1" s="25"/>
      <c r="D1" s="25"/>
      <c r="E1" s="208"/>
      <c r="F1" s="25"/>
      <c r="G1" s="25"/>
      <c r="H1" s="25"/>
      <c r="I1" s="25"/>
      <c r="J1" s="25"/>
      <c r="K1" s="25"/>
      <c r="L1" s="25"/>
      <c r="M1" s="25"/>
      <c r="N1" s="25"/>
      <c r="O1" s="25"/>
      <c r="P1" s="25"/>
      <c r="Q1" s="25"/>
      <c r="R1" s="25"/>
      <c r="S1" s="25"/>
    </row>
    <row r="2" spans="1:35" ht="12.75" customHeight="1" x14ac:dyDescent="0.3">
      <c r="A2" s="207"/>
      <c r="B2" s="39" t="s">
        <v>19</v>
      </c>
      <c r="C2" s="40" t="str">
        <f>IF('0 Úvod'!$M$10="English",Slovnik!D414,Slovnik!C414)</f>
        <v>Celkové provozní příjmy (CZK)</v>
      </c>
      <c r="D2" s="42"/>
      <c r="E2" s="2558">
        <f>'0 Úvod'!G18</f>
        <v>2021</v>
      </c>
      <c r="F2" s="2550">
        <f t="shared" ref="F2:S2" si="0">E2+1</f>
        <v>2022</v>
      </c>
      <c r="G2" s="2550">
        <f t="shared" si="0"/>
        <v>2023</v>
      </c>
      <c r="H2" s="2550">
        <f t="shared" si="0"/>
        <v>2024</v>
      </c>
      <c r="I2" s="2550">
        <f t="shared" si="0"/>
        <v>2025</v>
      </c>
      <c r="J2" s="2550">
        <f t="shared" si="0"/>
        <v>2026</v>
      </c>
      <c r="K2" s="2550">
        <f t="shared" si="0"/>
        <v>2027</v>
      </c>
      <c r="L2" s="2550">
        <f t="shared" si="0"/>
        <v>2028</v>
      </c>
      <c r="M2" s="2550">
        <f t="shared" si="0"/>
        <v>2029</v>
      </c>
      <c r="N2" s="2550">
        <f t="shared" si="0"/>
        <v>2030</v>
      </c>
      <c r="O2" s="2550">
        <f t="shared" si="0"/>
        <v>2031</v>
      </c>
      <c r="P2" s="2550">
        <f t="shared" si="0"/>
        <v>2032</v>
      </c>
      <c r="Q2" s="2550">
        <f t="shared" si="0"/>
        <v>2033</v>
      </c>
      <c r="R2" s="2550">
        <f t="shared" si="0"/>
        <v>2034</v>
      </c>
      <c r="S2" s="2561">
        <f t="shared" si="0"/>
        <v>2035</v>
      </c>
      <c r="T2" s="257"/>
      <c r="U2" s="20"/>
      <c r="V2" s="20"/>
      <c r="W2" s="20"/>
      <c r="X2" s="20"/>
      <c r="Y2" s="20"/>
      <c r="Z2" s="20"/>
      <c r="AA2" s="20"/>
      <c r="AB2" s="20"/>
      <c r="AC2" s="20"/>
    </row>
    <row r="3" spans="1:35" ht="15" thickBot="1" x14ac:dyDescent="0.35">
      <c r="A3" s="207"/>
      <c r="B3" s="259" t="s">
        <v>23</v>
      </c>
      <c r="C3" s="260" t="str">
        <f>IF('0 Úvod'!$M$10="English",Slovnik!D410,Slovnik!C410)</f>
        <v>Scénář s projektem</v>
      </c>
      <c r="D3" s="261" t="str">
        <f>IF('0 Úvod'!$M$10="English",Slovnik!$D$415,Slovnik!$C$415)</f>
        <v>Celkem</v>
      </c>
      <c r="E3" s="2559"/>
      <c r="F3" s="2551"/>
      <c r="G3" s="2551"/>
      <c r="H3" s="2551"/>
      <c r="I3" s="2551"/>
      <c r="J3" s="2551"/>
      <c r="K3" s="2551"/>
      <c r="L3" s="2551"/>
      <c r="M3" s="2551"/>
      <c r="N3" s="2551"/>
      <c r="O3" s="2551"/>
      <c r="P3" s="2551"/>
      <c r="Q3" s="2551"/>
      <c r="R3" s="2551"/>
      <c r="S3" s="2562"/>
      <c r="T3" s="257"/>
      <c r="U3" s="20"/>
      <c r="V3" s="20"/>
      <c r="W3" s="20"/>
      <c r="X3" s="20"/>
      <c r="Y3" s="20"/>
      <c r="Z3" s="20"/>
      <c r="AA3" s="20"/>
      <c r="AB3" s="20"/>
      <c r="AC3" s="20"/>
    </row>
    <row r="4" spans="1:35" ht="14.25" x14ac:dyDescent="0.3">
      <c r="A4" s="207"/>
      <c r="B4" s="258"/>
      <c r="C4" s="252" t="str">
        <f>IF('0 Úvod'!$M$10="English",Slovnik!D411,Slovnik!C411)</f>
        <v>Provozní příjmy - osobní doprava</v>
      </c>
      <c r="D4" s="376">
        <f>SUM(E4:S4,E11:S11)</f>
        <v>0</v>
      </c>
      <c r="E4" s="238"/>
      <c r="F4" s="238"/>
      <c r="G4" s="238"/>
      <c r="H4" s="238"/>
      <c r="I4" s="238"/>
      <c r="J4" s="238"/>
      <c r="K4" s="238"/>
      <c r="L4" s="238"/>
      <c r="M4" s="238"/>
      <c r="N4" s="238"/>
      <c r="O4" s="238"/>
      <c r="P4" s="238"/>
      <c r="Q4" s="238"/>
      <c r="R4" s="238"/>
      <c r="S4" s="238"/>
      <c r="T4" s="2113"/>
      <c r="U4" s="5"/>
      <c r="V4" s="5"/>
      <c r="W4" s="5"/>
      <c r="X4" s="5"/>
      <c r="Y4" s="5"/>
      <c r="Z4" s="5"/>
      <c r="AA4" s="5"/>
      <c r="AB4" s="5"/>
      <c r="AC4" s="5"/>
    </row>
    <row r="5" spans="1:35" ht="14.25" x14ac:dyDescent="0.3">
      <c r="A5" s="207"/>
      <c r="B5" s="258"/>
      <c r="C5" s="252" t="str">
        <f>IF('0 Úvod'!$M$10="English",Slovnik!D412,Slovnik!C412)</f>
        <v>Provozní příjmy - nákladní doprava</v>
      </c>
      <c r="D5" s="375">
        <f>SUM(E5:S5,E12:S12)</f>
        <v>0</v>
      </c>
      <c r="E5" s="238"/>
      <c r="F5" s="238"/>
      <c r="G5" s="238"/>
      <c r="H5" s="238"/>
      <c r="I5" s="238"/>
      <c r="J5" s="238"/>
      <c r="K5" s="238"/>
      <c r="L5" s="238"/>
      <c r="M5" s="238"/>
      <c r="N5" s="238"/>
      <c r="O5" s="238"/>
      <c r="P5" s="238"/>
      <c r="Q5" s="238"/>
      <c r="R5" s="238"/>
      <c r="S5" s="238"/>
      <c r="T5" s="2113"/>
      <c r="U5" s="5"/>
      <c r="V5" s="5"/>
      <c r="W5" s="5"/>
      <c r="X5" s="5"/>
      <c r="Y5" s="5"/>
      <c r="Z5" s="5"/>
      <c r="AA5" s="5"/>
      <c r="AB5" s="5"/>
      <c r="AC5" s="5"/>
    </row>
    <row r="6" spans="1:35" ht="14.25" x14ac:dyDescent="0.3">
      <c r="A6" s="207"/>
      <c r="B6" s="258"/>
      <c r="C6" s="186" t="str">
        <f>IF('0 Úvod'!$M$10="English",Slovnik!D413,Slovnik!C413)</f>
        <v>Ostatní příjmy</v>
      </c>
      <c r="D6" s="2110">
        <f>SUM(E6:S6,E13:S13)</f>
        <v>14724920</v>
      </c>
      <c r="E6" s="239"/>
      <c r="F6" s="239"/>
      <c r="G6" s="239">
        <f>-'4 PN vozidel'!G84*'4 PN vozidel'!B84</f>
        <v>7362460</v>
      </c>
      <c r="H6" s="239"/>
      <c r="I6" s="239"/>
      <c r="J6" s="239"/>
      <c r="K6" s="239"/>
      <c r="L6" s="239"/>
      <c r="M6" s="239"/>
      <c r="N6" s="239"/>
      <c r="O6" s="239"/>
      <c r="P6" s="239"/>
      <c r="Q6" s="239"/>
      <c r="R6" s="239"/>
      <c r="S6" s="239"/>
      <c r="T6" s="2114"/>
      <c r="U6" s="15"/>
      <c r="V6" s="15"/>
      <c r="W6" s="15"/>
      <c r="X6" s="15"/>
      <c r="Y6" s="15"/>
      <c r="Z6" s="15"/>
      <c r="AA6" s="15"/>
      <c r="AB6" s="15"/>
      <c r="AC6" s="15"/>
    </row>
    <row r="7" spans="1:35" ht="15" thickBot="1" x14ac:dyDescent="0.35">
      <c r="A7" s="207"/>
      <c r="B7" s="714"/>
      <c r="C7" s="715" t="str">
        <f>IF('0 Úvod'!$M$10="English",Slovnik!D414,Slovnik!C414)</f>
        <v>Celkové provozní příjmy (CZK)</v>
      </c>
      <c r="D7" s="716">
        <f>SUM(E7:S7,E14:S14)</f>
        <v>14724920</v>
      </c>
      <c r="E7" s="2115">
        <f>SUM(E4:E6)</f>
        <v>0</v>
      </c>
      <c r="F7" s="717">
        <f t="shared" ref="F7:S7" si="1">SUM(F4:F6)</f>
        <v>0</v>
      </c>
      <c r="G7" s="717">
        <f t="shared" si="1"/>
        <v>7362460</v>
      </c>
      <c r="H7" s="717">
        <f>SUM(H4:H6)</f>
        <v>0</v>
      </c>
      <c r="I7" s="717">
        <f t="shared" si="1"/>
        <v>0</v>
      </c>
      <c r="J7" s="717">
        <f t="shared" si="1"/>
        <v>0</v>
      </c>
      <c r="K7" s="717">
        <f t="shared" si="1"/>
        <v>0</v>
      </c>
      <c r="L7" s="717">
        <f t="shared" si="1"/>
        <v>0</v>
      </c>
      <c r="M7" s="717">
        <f t="shared" si="1"/>
        <v>0</v>
      </c>
      <c r="N7" s="717">
        <f t="shared" si="1"/>
        <v>0</v>
      </c>
      <c r="O7" s="717">
        <f t="shared" si="1"/>
        <v>0</v>
      </c>
      <c r="P7" s="717">
        <f t="shared" si="1"/>
        <v>0</v>
      </c>
      <c r="Q7" s="717">
        <f t="shared" si="1"/>
        <v>0</v>
      </c>
      <c r="R7" s="717">
        <f t="shared" si="1"/>
        <v>0</v>
      </c>
      <c r="S7" s="718">
        <f t="shared" si="1"/>
        <v>0</v>
      </c>
      <c r="T7" s="21"/>
      <c r="U7" s="22"/>
      <c r="V7" s="22"/>
      <c r="W7" s="22"/>
      <c r="X7" s="22"/>
      <c r="Y7" s="22"/>
      <c r="Z7" s="22"/>
      <c r="AA7" s="22"/>
      <c r="AB7" s="22"/>
      <c r="AC7" s="22"/>
    </row>
    <row r="8" spans="1:35" ht="14.25" thickBot="1" x14ac:dyDescent="0.35">
      <c r="A8" s="207"/>
      <c r="B8" s="213"/>
      <c r="C8" s="207"/>
      <c r="D8" s="214"/>
      <c r="E8" s="215"/>
      <c r="F8" s="215"/>
      <c r="G8" s="215"/>
      <c r="H8" s="215"/>
      <c r="I8" s="215"/>
      <c r="J8" s="215"/>
      <c r="K8" s="215"/>
      <c r="L8" s="215"/>
      <c r="M8" s="215"/>
      <c r="N8" s="215"/>
      <c r="O8" s="215"/>
      <c r="P8" s="215"/>
      <c r="Q8" s="215"/>
      <c r="R8" s="215"/>
      <c r="S8" s="215"/>
      <c r="T8" s="13"/>
      <c r="U8" s="5"/>
      <c r="V8" s="5"/>
      <c r="W8" s="5"/>
      <c r="X8" s="5"/>
      <c r="Y8" s="5"/>
      <c r="Z8" s="5"/>
      <c r="AA8" s="5"/>
      <c r="AB8" s="5"/>
      <c r="AC8" s="5"/>
    </row>
    <row r="9" spans="1:35" ht="14.25" x14ac:dyDescent="0.3">
      <c r="A9" s="207"/>
      <c r="B9" s="39" t="s">
        <v>19</v>
      </c>
      <c r="C9" s="40" t="str">
        <f t="shared" ref="C9:C14" si="2">C2</f>
        <v>Celkové provozní příjmy (CZK)</v>
      </c>
      <c r="D9" s="42"/>
      <c r="E9" s="2558">
        <f>S2+1</f>
        <v>2036</v>
      </c>
      <c r="F9" s="2550">
        <f t="shared" ref="F9:S9" si="3">E9+1</f>
        <v>2037</v>
      </c>
      <c r="G9" s="2550">
        <f t="shared" si="3"/>
        <v>2038</v>
      </c>
      <c r="H9" s="2550">
        <f t="shared" si="3"/>
        <v>2039</v>
      </c>
      <c r="I9" s="2550">
        <f t="shared" si="3"/>
        <v>2040</v>
      </c>
      <c r="J9" s="2550">
        <f t="shared" si="3"/>
        <v>2041</v>
      </c>
      <c r="K9" s="2550">
        <f t="shared" si="3"/>
        <v>2042</v>
      </c>
      <c r="L9" s="2550">
        <f t="shared" si="3"/>
        <v>2043</v>
      </c>
      <c r="M9" s="2550">
        <f t="shared" si="3"/>
        <v>2044</v>
      </c>
      <c r="N9" s="2550">
        <f t="shared" si="3"/>
        <v>2045</v>
      </c>
      <c r="O9" s="2550">
        <f t="shared" si="3"/>
        <v>2046</v>
      </c>
      <c r="P9" s="2550">
        <f t="shared" si="3"/>
        <v>2047</v>
      </c>
      <c r="Q9" s="2550">
        <f t="shared" si="3"/>
        <v>2048</v>
      </c>
      <c r="R9" s="2550">
        <f t="shared" si="3"/>
        <v>2049</v>
      </c>
      <c r="S9" s="2561">
        <f t="shared" si="3"/>
        <v>2050</v>
      </c>
      <c r="T9" s="257"/>
      <c r="U9" s="20"/>
      <c r="V9" s="20"/>
      <c r="W9" s="20"/>
      <c r="X9" s="20"/>
      <c r="Y9" s="20"/>
      <c r="Z9" s="20"/>
      <c r="AA9" s="20"/>
      <c r="AB9" s="20"/>
      <c r="AC9" s="20"/>
    </row>
    <row r="10" spans="1:35" s="6" customFormat="1" ht="15" thickBot="1" x14ac:dyDescent="0.35">
      <c r="A10" s="207"/>
      <c r="B10" s="259" t="s">
        <v>24</v>
      </c>
      <c r="C10" s="260" t="str">
        <f t="shared" si="2"/>
        <v>Scénář s projektem</v>
      </c>
      <c r="D10" s="264"/>
      <c r="E10" s="2559"/>
      <c r="F10" s="2551"/>
      <c r="G10" s="2551"/>
      <c r="H10" s="2551"/>
      <c r="I10" s="2551"/>
      <c r="J10" s="2551"/>
      <c r="K10" s="2551"/>
      <c r="L10" s="2551"/>
      <c r="M10" s="2551"/>
      <c r="N10" s="2551"/>
      <c r="O10" s="2551"/>
      <c r="P10" s="2551"/>
      <c r="Q10" s="2551"/>
      <c r="R10" s="2551"/>
      <c r="S10" s="2562"/>
      <c r="T10" s="257"/>
      <c r="U10" s="20"/>
      <c r="V10" s="20"/>
      <c r="W10" s="20"/>
      <c r="X10" s="20"/>
      <c r="Y10" s="20"/>
      <c r="Z10" s="20"/>
      <c r="AA10" s="20"/>
      <c r="AB10" s="20"/>
      <c r="AC10" s="20"/>
      <c r="AD10" s="4"/>
      <c r="AE10" s="4"/>
      <c r="AF10" s="4"/>
      <c r="AG10" s="4"/>
      <c r="AH10" s="4"/>
      <c r="AI10" s="4"/>
    </row>
    <row r="11" spans="1:35" s="6" customFormat="1" ht="14.25" x14ac:dyDescent="0.3">
      <c r="A11" s="207"/>
      <c r="B11" s="262"/>
      <c r="C11" s="254" t="str">
        <f t="shared" si="2"/>
        <v>Provozní příjmy - osobní doprava</v>
      </c>
      <c r="D11" s="2111"/>
      <c r="E11" s="238"/>
      <c r="F11" s="238"/>
      <c r="G11" s="238"/>
      <c r="H11" s="238"/>
      <c r="I11" s="238"/>
      <c r="J11" s="238"/>
      <c r="K11" s="238"/>
      <c r="L11" s="238"/>
      <c r="M11" s="238"/>
      <c r="N11" s="238"/>
      <c r="O11" s="238"/>
      <c r="P11" s="238"/>
      <c r="Q11" s="238"/>
      <c r="R11" s="238"/>
      <c r="S11" s="238"/>
      <c r="T11" s="2113"/>
      <c r="U11" s="5"/>
      <c r="V11" s="5"/>
      <c r="W11" s="5"/>
      <c r="X11" s="5"/>
      <c r="Y11" s="5"/>
      <c r="Z11" s="5"/>
      <c r="AA11" s="5"/>
      <c r="AB11" s="5"/>
      <c r="AC11" s="5"/>
      <c r="AD11" s="4"/>
      <c r="AE11" s="4"/>
      <c r="AF11" s="4"/>
      <c r="AG11" s="4"/>
      <c r="AH11" s="4"/>
      <c r="AI11" s="4"/>
    </row>
    <row r="12" spans="1:35" s="6" customFormat="1" ht="14.25" x14ac:dyDescent="0.3">
      <c r="A12" s="207"/>
      <c r="B12" s="262"/>
      <c r="C12" s="254" t="str">
        <f t="shared" si="2"/>
        <v>Provozní příjmy - nákladní doprava</v>
      </c>
      <c r="D12" s="263"/>
      <c r="E12" s="238"/>
      <c r="F12" s="238"/>
      <c r="G12" s="238"/>
      <c r="H12" s="238"/>
      <c r="I12" s="238"/>
      <c r="J12" s="238"/>
      <c r="K12" s="238"/>
      <c r="L12" s="238"/>
      <c r="M12" s="238"/>
      <c r="N12" s="238"/>
      <c r="O12" s="238"/>
      <c r="P12" s="238"/>
      <c r="Q12" s="238"/>
      <c r="R12" s="238"/>
      <c r="S12" s="238"/>
      <c r="T12" s="2113"/>
      <c r="U12" s="5"/>
      <c r="V12" s="5"/>
      <c r="W12" s="5"/>
      <c r="X12" s="5"/>
      <c r="Y12" s="5"/>
      <c r="Z12" s="5"/>
      <c r="AA12" s="5"/>
      <c r="AB12" s="5"/>
      <c r="AC12" s="5"/>
      <c r="AD12" s="4"/>
      <c r="AE12" s="4"/>
      <c r="AF12" s="4"/>
      <c r="AG12" s="4"/>
      <c r="AH12" s="4"/>
      <c r="AI12" s="4"/>
    </row>
    <row r="13" spans="1:35" s="6" customFormat="1" ht="14.25" x14ac:dyDescent="0.3">
      <c r="A13" s="207"/>
      <c r="B13" s="262"/>
      <c r="C13" s="186" t="str">
        <f t="shared" si="2"/>
        <v>Ostatní příjmy</v>
      </c>
      <c r="D13" s="2112"/>
      <c r="E13" s="29"/>
      <c r="F13" s="29"/>
      <c r="G13" s="29"/>
      <c r="H13" s="29"/>
      <c r="I13" s="29"/>
      <c r="J13" s="29"/>
      <c r="K13" s="29"/>
      <c r="L13" s="29"/>
      <c r="M13" s="29"/>
      <c r="N13" s="29"/>
      <c r="O13" s="29"/>
      <c r="P13" s="29"/>
      <c r="Q13" s="29">
        <f>-'4 PN vozidel'!Q96*'4 PN vozidel'!B84</f>
        <v>7362460</v>
      </c>
      <c r="R13" s="29"/>
      <c r="S13" s="29"/>
      <c r="T13" s="2113"/>
      <c r="U13" s="5"/>
      <c r="V13" s="5"/>
      <c r="W13" s="5"/>
      <c r="X13" s="5"/>
      <c r="Y13" s="5"/>
      <c r="Z13" s="5"/>
      <c r="AA13" s="5"/>
      <c r="AB13" s="5"/>
      <c r="AC13" s="5"/>
      <c r="AD13" s="4"/>
      <c r="AE13" s="4"/>
      <c r="AF13" s="4"/>
      <c r="AG13" s="4"/>
      <c r="AH13" s="4"/>
      <c r="AI13" s="4"/>
    </row>
    <row r="14" spans="1:35" ht="15" thickBot="1" x14ac:dyDescent="0.35">
      <c r="A14" s="216"/>
      <c r="B14" s="714"/>
      <c r="C14" s="715" t="str">
        <f t="shared" si="2"/>
        <v>Celkové provozní příjmy (CZK)</v>
      </c>
      <c r="D14" s="719"/>
      <c r="E14" s="2115">
        <f t="shared" ref="E14:S14" si="4">SUM(E11:E13)</f>
        <v>0</v>
      </c>
      <c r="F14" s="717">
        <f t="shared" si="4"/>
        <v>0</v>
      </c>
      <c r="G14" s="717">
        <f t="shared" si="4"/>
        <v>0</v>
      </c>
      <c r="H14" s="717">
        <f t="shared" si="4"/>
        <v>0</v>
      </c>
      <c r="I14" s="717">
        <f t="shared" si="4"/>
        <v>0</v>
      </c>
      <c r="J14" s="717">
        <f t="shared" si="4"/>
        <v>0</v>
      </c>
      <c r="K14" s="717">
        <f t="shared" si="4"/>
        <v>0</v>
      </c>
      <c r="L14" s="717">
        <f t="shared" si="4"/>
        <v>0</v>
      </c>
      <c r="M14" s="717">
        <f t="shared" si="4"/>
        <v>0</v>
      </c>
      <c r="N14" s="717">
        <f t="shared" si="4"/>
        <v>0</v>
      </c>
      <c r="O14" s="717">
        <f t="shared" si="4"/>
        <v>0</v>
      </c>
      <c r="P14" s="717">
        <f t="shared" si="4"/>
        <v>0</v>
      </c>
      <c r="Q14" s="717">
        <f t="shared" si="4"/>
        <v>7362460</v>
      </c>
      <c r="R14" s="717">
        <f t="shared" si="4"/>
        <v>0</v>
      </c>
      <c r="S14" s="718">
        <f t="shared" si="4"/>
        <v>0</v>
      </c>
      <c r="T14" s="21"/>
      <c r="U14" s="22"/>
      <c r="V14" s="22"/>
      <c r="W14" s="22"/>
      <c r="X14" s="22"/>
      <c r="Y14" s="22"/>
      <c r="Z14" s="22"/>
      <c r="AA14" s="22"/>
      <c r="AB14" s="22"/>
      <c r="AC14" s="22"/>
    </row>
    <row r="15" spans="1:35" ht="14.25" x14ac:dyDescent="0.3">
      <c r="A15" s="216"/>
      <c r="B15" s="217"/>
      <c r="C15" s="218"/>
      <c r="D15" s="219"/>
      <c r="E15" s="220"/>
      <c r="F15" s="220"/>
      <c r="G15" s="220"/>
      <c r="H15" s="220"/>
      <c r="I15" s="220"/>
      <c r="J15" s="220"/>
      <c r="K15" s="220"/>
      <c r="L15" s="220"/>
      <c r="M15" s="220"/>
      <c r="N15" s="220"/>
      <c r="O15" s="220"/>
      <c r="P15" s="220"/>
      <c r="Q15" s="220"/>
      <c r="R15" s="220"/>
      <c r="S15" s="220"/>
      <c r="T15" s="14"/>
      <c r="U15" s="8"/>
      <c r="V15" s="8"/>
      <c r="W15" s="8"/>
      <c r="X15" s="8"/>
      <c r="Y15" s="8"/>
      <c r="Z15" s="8"/>
      <c r="AA15" s="8"/>
      <c r="AB15" s="8"/>
      <c r="AC15" s="8"/>
    </row>
    <row r="16" spans="1:35" ht="14.25" thickBot="1" x14ac:dyDescent="0.35">
      <c r="A16" s="207"/>
      <c r="B16" s="217"/>
      <c r="C16" s="207"/>
      <c r="D16" s="208"/>
      <c r="E16" s="208"/>
      <c r="F16" s="208"/>
      <c r="G16" s="208"/>
      <c r="H16" s="208"/>
      <c r="I16" s="208"/>
      <c r="J16" s="208"/>
      <c r="K16" s="208"/>
      <c r="L16" s="208"/>
      <c r="M16" s="208"/>
      <c r="N16" s="208"/>
      <c r="O16" s="208"/>
      <c r="P16" s="208"/>
      <c r="Q16" s="208"/>
      <c r="R16" s="208"/>
      <c r="S16" s="208"/>
      <c r="T16" s="13"/>
      <c r="U16" s="5"/>
      <c r="V16" s="5"/>
      <c r="W16" s="5"/>
      <c r="X16" s="5"/>
      <c r="Y16" s="5"/>
      <c r="Z16" s="5"/>
      <c r="AA16" s="5"/>
      <c r="AB16" s="5"/>
      <c r="AC16" s="5"/>
    </row>
    <row r="17" spans="1:35" ht="14.25" x14ac:dyDescent="0.3">
      <c r="A17" s="207"/>
      <c r="B17" s="265" t="s">
        <v>20</v>
      </c>
      <c r="C17" s="269" t="str">
        <f>C9</f>
        <v>Celkové provozní příjmy (CZK)</v>
      </c>
      <c r="D17" s="270"/>
      <c r="E17" s="2548">
        <f>E2</f>
        <v>2021</v>
      </c>
      <c r="F17" s="2544">
        <f t="shared" ref="F17:S17" si="5">E17+1</f>
        <v>2022</v>
      </c>
      <c r="G17" s="2544">
        <f t="shared" si="5"/>
        <v>2023</v>
      </c>
      <c r="H17" s="2544">
        <f t="shared" si="5"/>
        <v>2024</v>
      </c>
      <c r="I17" s="2544">
        <f t="shared" si="5"/>
        <v>2025</v>
      </c>
      <c r="J17" s="2544">
        <f t="shared" si="5"/>
        <v>2026</v>
      </c>
      <c r="K17" s="2544">
        <f t="shared" si="5"/>
        <v>2027</v>
      </c>
      <c r="L17" s="2544">
        <f t="shared" si="5"/>
        <v>2028</v>
      </c>
      <c r="M17" s="2544">
        <f t="shared" si="5"/>
        <v>2029</v>
      </c>
      <c r="N17" s="2544">
        <f t="shared" si="5"/>
        <v>2030</v>
      </c>
      <c r="O17" s="2544">
        <f t="shared" si="5"/>
        <v>2031</v>
      </c>
      <c r="P17" s="2544">
        <f t="shared" si="5"/>
        <v>2032</v>
      </c>
      <c r="Q17" s="2544">
        <f t="shared" si="5"/>
        <v>2033</v>
      </c>
      <c r="R17" s="2544">
        <f t="shared" si="5"/>
        <v>2034</v>
      </c>
      <c r="S17" s="2546">
        <f t="shared" si="5"/>
        <v>2035</v>
      </c>
      <c r="T17" s="257"/>
      <c r="U17" s="20"/>
      <c r="V17" s="20"/>
      <c r="W17" s="20"/>
      <c r="X17" s="20"/>
      <c r="Y17" s="20"/>
      <c r="Z17" s="20"/>
      <c r="AA17" s="20"/>
      <c r="AB17" s="20"/>
      <c r="AC17" s="20"/>
    </row>
    <row r="18" spans="1:35" ht="15" thickBot="1" x14ac:dyDescent="0.35">
      <c r="A18" s="207"/>
      <c r="B18" s="266" t="s">
        <v>23</v>
      </c>
      <c r="C18" s="267" t="str">
        <f>IF('0 Úvod'!$M$10="English",Slovnik!$D$416,Slovnik!$C$416)</f>
        <v>Scénář bez projektu</v>
      </c>
      <c r="D18" s="268" t="str">
        <f>D3</f>
        <v>Celkem</v>
      </c>
      <c r="E18" s="2549"/>
      <c r="F18" s="2545"/>
      <c r="G18" s="2545"/>
      <c r="H18" s="2545"/>
      <c r="I18" s="2545"/>
      <c r="J18" s="2545"/>
      <c r="K18" s="2545"/>
      <c r="L18" s="2545"/>
      <c r="M18" s="2545"/>
      <c r="N18" s="2545"/>
      <c r="O18" s="2545"/>
      <c r="P18" s="2545"/>
      <c r="Q18" s="2545"/>
      <c r="R18" s="2545"/>
      <c r="S18" s="2547"/>
      <c r="T18" s="257"/>
      <c r="U18" s="20"/>
      <c r="V18" s="20"/>
      <c r="W18" s="20"/>
      <c r="X18" s="20"/>
      <c r="Y18" s="20"/>
      <c r="Z18" s="20"/>
      <c r="AA18" s="20"/>
      <c r="AB18" s="20"/>
      <c r="AC18" s="20"/>
    </row>
    <row r="19" spans="1:35" s="6" customFormat="1" ht="14.25" x14ac:dyDescent="0.3">
      <c r="A19" s="207"/>
      <c r="B19" s="258"/>
      <c r="C19" s="254" t="str">
        <f>C11</f>
        <v>Provozní příjmy - osobní doprava</v>
      </c>
      <c r="D19" s="376">
        <f>SUM(E19:S19,E26:S26)</f>
        <v>0</v>
      </c>
      <c r="E19" s="238"/>
      <c r="F19" s="238"/>
      <c r="G19" s="238"/>
      <c r="H19" s="238"/>
      <c r="I19" s="238"/>
      <c r="J19" s="238"/>
      <c r="K19" s="238"/>
      <c r="L19" s="238"/>
      <c r="M19" s="238"/>
      <c r="N19" s="238"/>
      <c r="O19" s="238"/>
      <c r="P19" s="238"/>
      <c r="Q19" s="238"/>
      <c r="R19" s="238"/>
      <c r="S19" s="238"/>
      <c r="T19" s="2113"/>
      <c r="U19" s="5"/>
      <c r="V19" s="5"/>
      <c r="W19" s="5"/>
      <c r="X19" s="5"/>
      <c r="Y19" s="5"/>
      <c r="Z19" s="5"/>
      <c r="AA19" s="5"/>
      <c r="AB19" s="5"/>
      <c r="AC19" s="5"/>
      <c r="AD19" s="4"/>
      <c r="AE19" s="4"/>
      <c r="AF19" s="4"/>
      <c r="AG19" s="4"/>
      <c r="AH19" s="4"/>
      <c r="AI19" s="4"/>
    </row>
    <row r="20" spans="1:35" s="6" customFormat="1" ht="14.25" x14ac:dyDescent="0.3">
      <c r="A20" s="207"/>
      <c r="B20" s="258"/>
      <c r="C20" s="254" t="str">
        <f>C12</f>
        <v>Provozní příjmy - nákladní doprava</v>
      </c>
      <c r="D20" s="375">
        <f>SUM(E20:S20,E27:S27)</f>
        <v>0</v>
      </c>
      <c r="E20" s="238"/>
      <c r="F20" s="238"/>
      <c r="G20" s="238"/>
      <c r="H20" s="238"/>
      <c r="I20" s="238"/>
      <c r="J20" s="238"/>
      <c r="K20" s="238"/>
      <c r="L20" s="238"/>
      <c r="M20" s="238"/>
      <c r="N20" s="238"/>
      <c r="O20" s="238"/>
      <c r="P20" s="238"/>
      <c r="Q20" s="238"/>
      <c r="R20" s="238"/>
      <c r="S20" s="238"/>
      <c r="T20" s="2113"/>
      <c r="U20" s="5"/>
      <c r="V20" s="5"/>
      <c r="W20" s="5"/>
      <c r="X20" s="5"/>
      <c r="Y20" s="5"/>
      <c r="Z20" s="5"/>
      <c r="AA20" s="5"/>
      <c r="AB20" s="5"/>
      <c r="AC20" s="5"/>
      <c r="AD20" s="4"/>
      <c r="AE20" s="4"/>
      <c r="AF20" s="4"/>
      <c r="AG20" s="4"/>
      <c r="AH20" s="4"/>
      <c r="AI20" s="4"/>
    </row>
    <row r="21" spans="1:35" s="6" customFormat="1" ht="14.25" x14ac:dyDescent="0.3">
      <c r="A21" s="207"/>
      <c r="B21" s="258"/>
      <c r="C21" s="186" t="str">
        <f>C13</f>
        <v>Ostatní příjmy</v>
      </c>
      <c r="D21" s="2110">
        <f>SUM(E21:S21,E28:S28)</f>
        <v>7362460</v>
      </c>
      <c r="E21" s="239"/>
      <c r="F21" s="239"/>
      <c r="G21" s="239"/>
      <c r="H21" s="239"/>
      <c r="I21" s="239"/>
      <c r="J21" s="239"/>
      <c r="K21" s="239"/>
      <c r="L21" s="239"/>
      <c r="M21" s="239"/>
      <c r="N21" s="239"/>
      <c r="O21" s="239"/>
      <c r="P21" s="239"/>
      <c r="Q21" s="239"/>
      <c r="R21" s="239"/>
      <c r="S21" s="239"/>
      <c r="T21" s="2114"/>
      <c r="U21" s="15"/>
      <c r="V21" s="15"/>
      <c r="W21" s="15"/>
      <c r="X21" s="15"/>
      <c r="Y21" s="15"/>
      <c r="Z21" s="15"/>
      <c r="AA21" s="15"/>
      <c r="AB21" s="15"/>
      <c r="AC21" s="15"/>
      <c r="AD21" s="4"/>
      <c r="AE21" s="4"/>
      <c r="AF21" s="4"/>
      <c r="AG21" s="4"/>
      <c r="AH21" s="4"/>
      <c r="AI21" s="4"/>
    </row>
    <row r="22" spans="1:35" ht="15" thickBot="1" x14ac:dyDescent="0.35">
      <c r="A22" s="207"/>
      <c r="B22" s="720"/>
      <c r="C22" s="721" t="str">
        <f>C14</f>
        <v>Celkové provozní příjmy (CZK)</v>
      </c>
      <c r="D22" s="722">
        <f>SUM(E22:S22,E29:S29)</f>
        <v>7362460</v>
      </c>
      <c r="E22" s="2116">
        <f t="shared" ref="E22:S22" si="6">SUM(E19:E21)</f>
        <v>0</v>
      </c>
      <c r="F22" s="723">
        <f t="shared" si="6"/>
        <v>0</v>
      </c>
      <c r="G22" s="723">
        <f t="shared" si="6"/>
        <v>0</v>
      </c>
      <c r="H22" s="723">
        <f t="shared" si="6"/>
        <v>0</v>
      </c>
      <c r="I22" s="723">
        <f t="shared" si="6"/>
        <v>0</v>
      </c>
      <c r="J22" s="723">
        <f t="shared" si="6"/>
        <v>0</v>
      </c>
      <c r="K22" s="723">
        <f t="shared" si="6"/>
        <v>0</v>
      </c>
      <c r="L22" s="723">
        <f t="shared" si="6"/>
        <v>0</v>
      </c>
      <c r="M22" s="723">
        <f t="shared" si="6"/>
        <v>0</v>
      </c>
      <c r="N22" s="723">
        <f t="shared" si="6"/>
        <v>0</v>
      </c>
      <c r="O22" s="723">
        <f t="shared" si="6"/>
        <v>0</v>
      </c>
      <c r="P22" s="723">
        <f t="shared" si="6"/>
        <v>0</v>
      </c>
      <c r="Q22" s="723">
        <f t="shared" si="6"/>
        <v>0</v>
      </c>
      <c r="R22" s="723">
        <f t="shared" si="6"/>
        <v>0</v>
      </c>
      <c r="S22" s="724">
        <f t="shared" si="6"/>
        <v>0</v>
      </c>
      <c r="T22" s="21"/>
      <c r="U22" s="22"/>
      <c r="V22" s="22"/>
      <c r="W22" s="22"/>
      <c r="X22" s="22"/>
      <c r="Y22" s="22"/>
      <c r="Z22" s="22"/>
      <c r="AA22" s="22"/>
      <c r="AB22" s="22"/>
      <c r="AC22" s="22"/>
    </row>
    <row r="23" spans="1:35" ht="14.25" thickBot="1" x14ac:dyDescent="0.35">
      <c r="A23" s="207"/>
      <c r="B23" s="213"/>
      <c r="C23" s="207"/>
      <c r="D23" s="214"/>
      <c r="E23" s="215"/>
      <c r="F23" s="215"/>
      <c r="G23" s="215"/>
      <c r="H23" s="215"/>
      <c r="I23" s="215"/>
      <c r="J23" s="215"/>
      <c r="K23" s="215"/>
      <c r="L23" s="215"/>
      <c r="M23" s="215"/>
      <c r="N23" s="215"/>
      <c r="O23" s="215"/>
      <c r="P23" s="215"/>
      <c r="Q23" s="215"/>
      <c r="R23" s="215"/>
      <c r="S23" s="215"/>
      <c r="T23" s="13"/>
      <c r="U23" s="5"/>
      <c r="V23" s="5"/>
      <c r="W23" s="5"/>
      <c r="X23" s="5"/>
      <c r="Y23" s="5"/>
      <c r="Z23" s="5"/>
      <c r="AA23" s="5"/>
      <c r="AB23" s="5"/>
      <c r="AC23" s="5"/>
    </row>
    <row r="24" spans="1:35" ht="14.25" x14ac:dyDescent="0.3">
      <c r="A24" s="207"/>
      <c r="B24" s="265" t="s">
        <v>20</v>
      </c>
      <c r="C24" s="269" t="str">
        <f t="shared" ref="C24:C29" si="7">C17</f>
        <v>Celkové provozní příjmy (CZK)</v>
      </c>
      <c r="D24" s="270"/>
      <c r="E24" s="2548">
        <f>S17+1</f>
        <v>2036</v>
      </c>
      <c r="F24" s="2544">
        <f t="shared" ref="F24:S24" si="8">E24+1</f>
        <v>2037</v>
      </c>
      <c r="G24" s="2544">
        <f t="shared" si="8"/>
        <v>2038</v>
      </c>
      <c r="H24" s="2544">
        <f t="shared" si="8"/>
        <v>2039</v>
      </c>
      <c r="I24" s="2544">
        <f t="shared" si="8"/>
        <v>2040</v>
      </c>
      <c r="J24" s="2544">
        <f t="shared" si="8"/>
        <v>2041</v>
      </c>
      <c r="K24" s="2544">
        <f t="shared" si="8"/>
        <v>2042</v>
      </c>
      <c r="L24" s="2544">
        <f t="shared" si="8"/>
        <v>2043</v>
      </c>
      <c r="M24" s="2544">
        <f t="shared" si="8"/>
        <v>2044</v>
      </c>
      <c r="N24" s="2544">
        <f t="shared" si="8"/>
        <v>2045</v>
      </c>
      <c r="O24" s="2544">
        <f t="shared" si="8"/>
        <v>2046</v>
      </c>
      <c r="P24" s="2544">
        <f t="shared" si="8"/>
        <v>2047</v>
      </c>
      <c r="Q24" s="2544">
        <f t="shared" si="8"/>
        <v>2048</v>
      </c>
      <c r="R24" s="2544">
        <f t="shared" si="8"/>
        <v>2049</v>
      </c>
      <c r="S24" s="2546">
        <f t="shared" si="8"/>
        <v>2050</v>
      </c>
      <c r="T24" s="257"/>
      <c r="U24" s="20"/>
      <c r="V24" s="20"/>
      <c r="W24" s="20"/>
      <c r="X24" s="20"/>
      <c r="Y24" s="20"/>
      <c r="Z24" s="20"/>
      <c r="AA24" s="20"/>
      <c r="AB24" s="20"/>
      <c r="AC24" s="20"/>
      <c r="AD24" s="6"/>
    </row>
    <row r="25" spans="1:35" s="6" customFormat="1" ht="15" thickBot="1" x14ac:dyDescent="0.35">
      <c r="A25" s="207"/>
      <c r="B25" s="266" t="s">
        <v>24</v>
      </c>
      <c r="C25" s="271" t="str">
        <f t="shared" si="7"/>
        <v>Scénář bez projektu</v>
      </c>
      <c r="D25" s="272"/>
      <c r="E25" s="2549"/>
      <c r="F25" s="2545"/>
      <c r="G25" s="2545"/>
      <c r="H25" s="2545"/>
      <c r="I25" s="2545"/>
      <c r="J25" s="2545"/>
      <c r="K25" s="2545"/>
      <c r="L25" s="2545"/>
      <c r="M25" s="2545"/>
      <c r="N25" s="2545"/>
      <c r="O25" s="2545"/>
      <c r="P25" s="2545"/>
      <c r="Q25" s="2545"/>
      <c r="R25" s="2545"/>
      <c r="S25" s="2547"/>
      <c r="T25" s="257"/>
      <c r="U25" s="20"/>
      <c r="V25" s="20"/>
      <c r="W25" s="20"/>
      <c r="X25" s="20"/>
      <c r="Y25" s="20"/>
      <c r="Z25" s="20"/>
      <c r="AA25" s="20"/>
      <c r="AB25" s="20"/>
      <c r="AC25" s="20"/>
      <c r="AE25" s="4"/>
      <c r="AF25" s="4"/>
      <c r="AG25" s="4"/>
      <c r="AH25" s="4"/>
      <c r="AI25" s="4"/>
    </row>
    <row r="26" spans="1:35" s="6" customFormat="1" ht="14.25" x14ac:dyDescent="0.3">
      <c r="A26" s="207"/>
      <c r="B26" s="262"/>
      <c r="C26" s="254" t="str">
        <f t="shared" si="7"/>
        <v>Provozní příjmy - osobní doprava</v>
      </c>
      <c r="D26" s="2111"/>
      <c r="E26" s="238"/>
      <c r="F26" s="238"/>
      <c r="G26" s="238"/>
      <c r="H26" s="238"/>
      <c r="I26" s="238"/>
      <c r="J26" s="238"/>
      <c r="K26" s="238"/>
      <c r="L26" s="238"/>
      <c r="M26" s="238"/>
      <c r="N26" s="238"/>
      <c r="O26" s="238"/>
      <c r="P26" s="238"/>
      <c r="Q26" s="238"/>
      <c r="R26" s="238"/>
      <c r="S26" s="238"/>
      <c r="T26" s="2113"/>
      <c r="U26" s="5"/>
      <c r="V26" s="5"/>
      <c r="W26" s="5"/>
      <c r="X26" s="5"/>
      <c r="Y26" s="5"/>
      <c r="Z26" s="5"/>
      <c r="AA26" s="5"/>
      <c r="AB26" s="5"/>
      <c r="AC26" s="5"/>
      <c r="AE26" s="4"/>
      <c r="AF26" s="4"/>
      <c r="AG26" s="4"/>
      <c r="AH26" s="4"/>
      <c r="AI26" s="4"/>
    </row>
    <row r="27" spans="1:35" s="6" customFormat="1" ht="14.25" x14ac:dyDescent="0.3">
      <c r="A27" s="207"/>
      <c r="B27" s="262"/>
      <c r="C27" s="254" t="str">
        <f t="shared" si="7"/>
        <v>Provozní příjmy - nákladní doprava</v>
      </c>
      <c r="D27" s="263"/>
      <c r="E27" s="238"/>
      <c r="F27" s="238"/>
      <c r="G27" s="238"/>
      <c r="H27" s="238"/>
      <c r="I27" s="238"/>
      <c r="J27" s="238"/>
      <c r="K27" s="238"/>
      <c r="L27" s="238"/>
      <c r="M27" s="238"/>
      <c r="N27" s="238"/>
      <c r="O27" s="238"/>
      <c r="P27" s="238"/>
      <c r="Q27" s="238"/>
      <c r="R27" s="238"/>
      <c r="S27" s="238"/>
      <c r="T27" s="2113"/>
      <c r="U27" s="5"/>
      <c r="V27" s="5"/>
      <c r="W27" s="5"/>
      <c r="X27" s="5"/>
      <c r="Y27" s="5"/>
      <c r="Z27" s="5"/>
      <c r="AA27" s="5"/>
      <c r="AB27" s="5"/>
      <c r="AC27" s="5"/>
      <c r="AE27" s="4"/>
      <c r="AF27" s="4"/>
      <c r="AG27" s="4"/>
      <c r="AH27" s="4"/>
      <c r="AI27" s="4"/>
    </row>
    <row r="28" spans="1:35" s="6" customFormat="1" ht="14.25" x14ac:dyDescent="0.3">
      <c r="A28" s="207"/>
      <c r="B28" s="262"/>
      <c r="C28" s="186" t="str">
        <f t="shared" si="7"/>
        <v>Ostatní příjmy</v>
      </c>
      <c r="D28" s="2112"/>
      <c r="E28" s="239"/>
      <c r="F28" s="239"/>
      <c r="G28" s="239"/>
      <c r="H28" s="239"/>
      <c r="I28" s="239"/>
      <c r="J28" s="239"/>
      <c r="K28" s="239"/>
      <c r="L28" s="239"/>
      <c r="M28" s="239"/>
      <c r="N28" s="239"/>
      <c r="O28" s="239"/>
      <c r="P28" s="239"/>
      <c r="Q28" s="239">
        <f>-'4 PN vozidel'!Q121*'4 PN vozidel'!$B$109</f>
        <v>7362460</v>
      </c>
      <c r="R28" s="239"/>
      <c r="S28" s="239"/>
      <c r="T28" s="2114"/>
      <c r="U28" s="15"/>
      <c r="V28" s="15"/>
      <c r="W28" s="15"/>
      <c r="X28" s="15"/>
      <c r="Y28" s="15"/>
      <c r="Z28" s="15"/>
      <c r="AA28" s="15"/>
      <c r="AB28" s="15"/>
      <c r="AC28" s="15"/>
      <c r="AE28" s="4"/>
      <c r="AF28" s="4"/>
      <c r="AG28" s="4"/>
      <c r="AH28" s="4"/>
      <c r="AI28" s="4"/>
    </row>
    <row r="29" spans="1:35" ht="15" thickBot="1" x14ac:dyDescent="0.35">
      <c r="A29" s="207"/>
      <c r="B29" s="720"/>
      <c r="C29" s="721" t="str">
        <f t="shared" si="7"/>
        <v>Celkové provozní příjmy (CZK)</v>
      </c>
      <c r="D29" s="725"/>
      <c r="E29" s="2116">
        <f t="shared" ref="E29:S29" si="9">SUM(E26:E28)</f>
        <v>0</v>
      </c>
      <c r="F29" s="723">
        <f t="shared" si="9"/>
        <v>0</v>
      </c>
      <c r="G29" s="723">
        <f t="shared" si="9"/>
        <v>0</v>
      </c>
      <c r="H29" s="723">
        <f t="shared" si="9"/>
        <v>0</v>
      </c>
      <c r="I29" s="723">
        <f t="shared" si="9"/>
        <v>0</v>
      </c>
      <c r="J29" s="723">
        <f t="shared" si="9"/>
        <v>0</v>
      </c>
      <c r="K29" s="723">
        <f t="shared" si="9"/>
        <v>0</v>
      </c>
      <c r="L29" s="723">
        <f t="shared" si="9"/>
        <v>0</v>
      </c>
      <c r="M29" s="723">
        <f t="shared" si="9"/>
        <v>0</v>
      </c>
      <c r="N29" s="723">
        <f t="shared" si="9"/>
        <v>0</v>
      </c>
      <c r="O29" s="723">
        <f t="shared" si="9"/>
        <v>0</v>
      </c>
      <c r="P29" s="723">
        <f t="shared" si="9"/>
        <v>0</v>
      </c>
      <c r="Q29" s="723">
        <f t="shared" si="9"/>
        <v>7362460</v>
      </c>
      <c r="R29" s="723">
        <f t="shared" si="9"/>
        <v>0</v>
      </c>
      <c r="S29" s="724">
        <f t="shared" si="9"/>
        <v>0</v>
      </c>
      <c r="T29" s="21"/>
      <c r="U29" s="22"/>
      <c r="V29" s="22"/>
      <c r="W29" s="22"/>
      <c r="X29" s="22"/>
      <c r="Y29" s="22"/>
      <c r="Z29" s="22"/>
      <c r="AA29" s="22"/>
      <c r="AB29" s="22"/>
      <c r="AC29" s="22"/>
      <c r="AD29" s="6"/>
    </row>
    <row r="30" spans="1:35" ht="14.25" x14ac:dyDescent="0.3">
      <c r="A30" s="207"/>
      <c r="B30" s="217"/>
      <c r="C30" s="218"/>
      <c r="D30" s="219"/>
      <c r="E30" s="220"/>
      <c r="F30" s="220"/>
      <c r="G30" s="220"/>
      <c r="H30" s="220"/>
      <c r="I30" s="220"/>
      <c r="J30" s="220"/>
      <c r="K30" s="220"/>
      <c r="L30" s="220"/>
      <c r="M30" s="220"/>
      <c r="N30" s="220"/>
      <c r="O30" s="220"/>
      <c r="P30" s="220"/>
      <c r="Q30" s="220"/>
      <c r="R30" s="220"/>
      <c r="S30" s="220"/>
      <c r="T30" s="14"/>
      <c r="U30" s="8"/>
      <c r="V30" s="8"/>
      <c r="W30" s="8"/>
      <c r="X30" s="8"/>
      <c r="Y30" s="8"/>
      <c r="Z30" s="8"/>
      <c r="AA30" s="8"/>
      <c r="AB30" s="8"/>
      <c r="AC30" s="8"/>
    </row>
    <row r="31" spans="1:35" ht="14.25" thickBot="1" x14ac:dyDescent="0.35">
      <c r="A31" s="207"/>
      <c r="B31" s="217"/>
      <c r="C31" s="207"/>
      <c r="D31" s="208"/>
      <c r="E31" s="208"/>
      <c r="F31" s="208"/>
      <c r="G31" s="208"/>
      <c r="H31" s="208"/>
      <c r="I31" s="208"/>
      <c r="J31" s="208"/>
      <c r="K31" s="208"/>
      <c r="L31" s="208"/>
      <c r="M31" s="208"/>
      <c r="N31" s="208"/>
      <c r="O31" s="208"/>
      <c r="P31" s="208"/>
      <c r="Q31" s="208"/>
      <c r="R31" s="208"/>
      <c r="S31" s="208"/>
      <c r="T31" s="13"/>
      <c r="U31" s="5"/>
      <c r="V31" s="5"/>
      <c r="W31" s="5"/>
      <c r="X31" s="5"/>
      <c r="Y31" s="5"/>
      <c r="Z31" s="5"/>
      <c r="AA31" s="5"/>
      <c r="AB31" s="5"/>
      <c r="AC31" s="5"/>
      <c r="AD31" s="6"/>
      <c r="AE31" s="6"/>
      <c r="AF31" s="6"/>
      <c r="AG31" s="6"/>
      <c r="AH31" s="6"/>
    </row>
    <row r="32" spans="1:35" s="6" customFormat="1" ht="12.75" customHeight="1" x14ac:dyDescent="0.3">
      <c r="A32" s="207"/>
      <c r="B32" s="275" t="s">
        <v>162</v>
      </c>
      <c r="C32" s="279" t="str">
        <f>IF('0 Úvod'!$M$10="English",Slovnik!D417,Slovnik!C417)</f>
        <v>Celkové přírůstkové provozní příjmy (CZK)</v>
      </c>
      <c r="D32" s="280"/>
      <c r="E32" s="2556">
        <f>E2</f>
        <v>2021</v>
      </c>
      <c r="F32" s="2552">
        <f t="shared" ref="F32:S32" si="10">E32+1</f>
        <v>2022</v>
      </c>
      <c r="G32" s="2552">
        <f t="shared" si="10"/>
        <v>2023</v>
      </c>
      <c r="H32" s="2552">
        <f t="shared" si="10"/>
        <v>2024</v>
      </c>
      <c r="I32" s="2552">
        <f t="shared" si="10"/>
        <v>2025</v>
      </c>
      <c r="J32" s="2552">
        <f t="shared" si="10"/>
        <v>2026</v>
      </c>
      <c r="K32" s="2552">
        <f t="shared" si="10"/>
        <v>2027</v>
      </c>
      <c r="L32" s="2552">
        <f t="shared" si="10"/>
        <v>2028</v>
      </c>
      <c r="M32" s="2552">
        <f t="shared" si="10"/>
        <v>2029</v>
      </c>
      <c r="N32" s="2552">
        <f t="shared" si="10"/>
        <v>2030</v>
      </c>
      <c r="O32" s="2552">
        <f t="shared" si="10"/>
        <v>2031</v>
      </c>
      <c r="P32" s="2552">
        <f t="shared" si="10"/>
        <v>2032</v>
      </c>
      <c r="Q32" s="2552">
        <f t="shared" si="10"/>
        <v>2033</v>
      </c>
      <c r="R32" s="2552">
        <f t="shared" si="10"/>
        <v>2034</v>
      </c>
      <c r="S32" s="2554">
        <f t="shared" si="10"/>
        <v>2035</v>
      </c>
      <c r="T32" s="257"/>
      <c r="U32" s="20"/>
      <c r="V32" s="20"/>
      <c r="W32" s="20"/>
      <c r="X32" s="20"/>
      <c r="Y32" s="20"/>
      <c r="Z32" s="20"/>
      <c r="AA32" s="20"/>
      <c r="AB32" s="20"/>
      <c r="AC32" s="20"/>
    </row>
    <row r="33" spans="1:34" s="6" customFormat="1" ht="12.75" customHeight="1" thickBot="1" x14ac:dyDescent="0.35">
      <c r="A33" s="226"/>
      <c r="B33" s="276" t="s">
        <v>23</v>
      </c>
      <c r="C33" s="281" t="str">
        <f>IF('0 Úvod'!$M$10="English",Slovnik!D418,Slovnik!C418)</f>
        <v>Přírůstek cash-flow</v>
      </c>
      <c r="D33" s="282" t="str">
        <f>D18</f>
        <v>Celkem</v>
      </c>
      <c r="E33" s="2557"/>
      <c r="F33" s="2553"/>
      <c r="G33" s="2553"/>
      <c r="H33" s="2553"/>
      <c r="I33" s="2553"/>
      <c r="J33" s="2553"/>
      <c r="K33" s="2553"/>
      <c r="L33" s="2553"/>
      <c r="M33" s="2553"/>
      <c r="N33" s="2553"/>
      <c r="O33" s="2553"/>
      <c r="P33" s="2553"/>
      <c r="Q33" s="2553"/>
      <c r="R33" s="2553"/>
      <c r="S33" s="2555"/>
      <c r="T33" s="257"/>
      <c r="U33" s="20"/>
      <c r="V33" s="20"/>
      <c r="W33" s="20"/>
      <c r="X33" s="20"/>
      <c r="Y33" s="20"/>
      <c r="Z33" s="20"/>
      <c r="AA33" s="20"/>
      <c r="AB33" s="20"/>
      <c r="AC33" s="20"/>
    </row>
    <row r="34" spans="1:34" s="6" customFormat="1" ht="12.75" customHeight="1" x14ac:dyDescent="0.3">
      <c r="A34" s="226"/>
      <c r="B34" s="277"/>
      <c r="C34" s="278" t="str">
        <f>C26</f>
        <v>Provozní příjmy - osobní doprava</v>
      </c>
      <c r="D34" s="376">
        <f>SUM(E34:S34,E41:S41)</f>
        <v>0</v>
      </c>
      <c r="E34" s="364">
        <f>E4-E19</f>
        <v>0</v>
      </c>
      <c r="F34" s="364">
        <f t="shared" ref="F34:S34" si="11">F4-F19</f>
        <v>0</v>
      </c>
      <c r="G34" s="364">
        <f t="shared" si="11"/>
        <v>0</v>
      </c>
      <c r="H34" s="364">
        <f t="shared" si="11"/>
        <v>0</v>
      </c>
      <c r="I34" s="364">
        <f t="shared" si="11"/>
        <v>0</v>
      </c>
      <c r="J34" s="364">
        <f t="shared" si="11"/>
        <v>0</v>
      </c>
      <c r="K34" s="364">
        <f t="shared" si="11"/>
        <v>0</v>
      </c>
      <c r="L34" s="364">
        <f t="shared" si="11"/>
        <v>0</v>
      </c>
      <c r="M34" s="364">
        <f t="shared" si="11"/>
        <v>0</v>
      </c>
      <c r="N34" s="364">
        <f t="shared" si="11"/>
        <v>0</v>
      </c>
      <c r="O34" s="364">
        <f t="shared" si="11"/>
        <v>0</v>
      </c>
      <c r="P34" s="364">
        <f t="shared" si="11"/>
        <v>0</v>
      </c>
      <c r="Q34" s="364">
        <f t="shared" si="11"/>
        <v>0</v>
      </c>
      <c r="R34" s="364">
        <f t="shared" si="11"/>
        <v>0</v>
      </c>
      <c r="S34" s="365">
        <f t="shared" si="11"/>
        <v>0</v>
      </c>
      <c r="T34" s="21"/>
      <c r="U34" s="22"/>
      <c r="V34" s="22"/>
      <c r="W34" s="22"/>
      <c r="X34" s="22"/>
      <c r="Y34" s="22"/>
      <c r="Z34" s="22"/>
      <c r="AA34" s="22"/>
      <c r="AB34" s="22"/>
      <c r="AC34" s="22"/>
    </row>
    <row r="35" spans="1:34" s="6" customFormat="1" ht="12.75" customHeight="1" x14ac:dyDescent="0.3">
      <c r="A35" s="226"/>
      <c r="B35" s="273"/>
      <c r="C35" s="254" t="str">
        <f>C27</f>
        <v>Provozní příjmy - nákladní doprava</v>
      </c>
      <c r="D35" s="375">
        <f>SUM(E35:S35,E42:S42)</f>
        <v>0</v>
      </c>
      <c r="E35" s="364">
        <f>E5-E20</f>
        <v>0</v>
      </c>
      <c r="F35" s="364">
        <f t="shared" ref="F35:S35" si="12">F5-F20</f>
        <v>0</v>
      </c>
      <c r="G35" s="364">
        <f t="shared" si="12"/>
        <v>0</v>
      </c>
      <c r="H35" s="364">
        <f t="shared" si="12"/>
        <v>0</v>
      </c>
      <c r="I35" s="364">
        <f t="shared" si="12"/>
        <v>0</v>
      </c>
      <c r="J35" s="364">
        <f t="shared" si="12"/>
        <v>0</v>
      </c>
      <c r="K35" s="364">
        <f t="shared" si="12"/>
        <v>0</v>
      </c>
      <c r="L35" s="364">
        <f t="shared" si="12"/>
        <v>0</v>
      </c>
      <c r="M35" s="364">
        <f t="shared" si="12"/>
        <v>0</v>
      </c>
      <c r="N35" s="364">
        <f t="shared" si="12"/>
        <v>0</v>
      </c>
      <c r="O35" s="364">
        <f t="shared" si="12"/>
        <v>0</v>
      </c>
      <c r="P35" s="364">
        <f t="shared" si="12"/>
        <v>0</v>
      </c>
      <c r="Q35" s="364">
        <f t="shared" si="12"/>
        <v>0</v>
      </c>
      <c r="R35" s="364">
        <f t="shared" si="12"/>
        <v>0</v>
      </c>
      <c r="S35" s="365">
        <f t="shared" si="12"/>
        <v>0</v>
      </c>
      <c r="T35" s="21"/>
      <c r="U35" s="22"/>
      <c r="V35" s="22"/>
      <c r="W35" s="22"/>
      <c r="X35" s="22"/>
      <c r="Y35" s="22"/>
      <c r="Z35" s="22"/>
      <c r="AA35" s="22"/>
      <c r="AB35" s="22"/>
      <c r="AC35" s="22"/>
    </row>
    <row r="36" spans="1:34" s="6" customFormat="1" ht="12.75" customHeight="1" x14ac:dyDescent="0.3">
      <c r="A36" s="226"/>
      <c r="B36" s="273"/>
      <c r="C36" s="186" t="str">
        <f>C28</f>
        <v>Ostatní příjmy</v>
      </c>
      <c r="D36" s="375">
        <f>SUM(E36:S36,E43:S43)</f>
        <v>7362460</v>
      </c>
      <c r="E36" s="364">
        <f>E6-E21</f>
        <v>0</v>
      </c>
      <c r="F36" s="364">
        <f t="shared" ref="F36:S36" si="13">F6-F21</f>
        <v>0</v>
      </c>
      <c r="G36" s="364">
        <f t="shared" si="13"/>
        <v>7362460</v>
      </c>
      <c r="H36" s="364">
        <f t="shared" si="13"/>
        <v>0</v>
      </c>
      <c r="I36" s="364">
        <f t="shared" si="13"/>
        <v>0</v>
      </c>
      <c r="J36" s="364">
        <f t="shared" si="13"/>
        <v>0</v>
      </c>
      <c r="K36" s="364">
        <f t="shared" si="13"/>
        <v>0</v>
      </c>
      <c r="L36" s="364">
        <f t="shared" si="13"/>
        <v>0</v>
      </c>
      <c r="M36" s="364">
        <f t="shared" si="13"/>
        <v>0</v>
      </c>
      <c r="N36" s="364">
        <f t="shared" si="13"/>
        <v>0</v>
      </c>
      <c r="O36" s="364">
        <f t="shared" si="13"/>
        <v>0</v>
      </c>
      <c r="P36" s="364">
        <f t="shared" si="13"/>
        <v>0</v>
      </c>
      <c r="Q36" s="364">
        <f t="shared" si="13"/>
        <v>0</v>
      </c>
      <c r="R36" s="364">
        <f t="shared" si="13"/>
        <v>0</v>
      </c>
      <c r="S36" s="365">
        <f t="shared" si="13"/>
        <v>0</v>
      </c>
      <c r="T36" s="21"/>
      <c r="U36" s="22"/>
      <c r="V36" s="22"/>
      <c r="W36" s="22"/>
      <c r="X36" s="22"/>
      <c r="Y36" s="22"/>
      <c r="Z36" s="22"/>
      <c r="AA36" s="22"/>
      <c r="AB36" s="22"/>
      <c r="AC36" s="22"/>
    </row>
    <row r="37" spans="1:34" s="6" customFormat="1" ht="15" thickBot="1" x14ac:dyDescent="0.35">
      <c r="A37" s="207"/>
      <c r="B37" s="726"/>
      <c r="C37" s="727" t="str">
        <f>C32</f>
        <v>Celkové přírůstkové provozní příjmy (CZK)</v>
      </c>
      <c r="D37" s="430">
        <f>SUM(E37:S37,E44:S44)</f>
        <v>7362460</v>
      </c>
      <c r="E37" s="728">
        <f>E7-E22</f>
        <v>0</v>
      </c>
      <c r="F37" s="728">
        <f t="shared" ref="F37:S37" si="14">F7-F22</f>
        <v>0</v>
      </c>
      <c r="G37" s="728">
        <f t="shared" si="14"/>
        <v>7362460</v>
      </c>
      <c r="H37" s="728">
        <f t="shared" si="14"/>
        <v>0</v>
      </c>
      <c r="I37" s="728">
        <f t="shared" si="14"/>
        <v>0</v>
      </c>
      <c r="J37" s="728">
        <f t="shared" si="14"/>
        <v>0</v>
      </c>
      <c r="K37" s="728">
        <f t="shared" si="14"/>
        <v>0</v>
      </c>
      <c r="L37" s="728">
        <f t="shared" si="14"/>
        <v>0</v>
      </c>
      <c r="M37" s="728">
        <f t="shared" si="14"/>
        <v>0</v>
      </c>
      <c r="N37" s="728">
        <f t="shared" si="14"/>
        <v>0</v>
      </c>
      <c r="O37" s="728">
        <f t="shared" si="14"/>
        <v>0</v>
      </c>
      <c r="P37" s="728">
        <f t="shared" si="14"/>
        <v>0</v>
      </c>
      <c r="Q37" s="728">
        <f t="shared" si="14"/>
        <v>0</v>
      </c>
      <c r="R37" s="728">
        <f t="shared" si="14"/>
        <v>0</v>
      </c>
      <c r="S37" s="729">
        <f t="shared" si="14"/>
        <v>0</v>
      </c>
      <c r="T37" s="21"/>
      <c r="U37" s="22"/>
      <c r="V37" s="22"/>
      <c r="W37" s="22"/>
      <c r="X37" s="22"/>
      <c r="Y37" s="22"/>
      <c r="Z37" s="22"/>
      <c r="AA37" s="22"/>
      <c r="AB37" s="22"/>
      <c r="AC37" s="22"/>
    </row>
    <row r="38" spans="1:34" s="6" customFormat="1" ht="14.25" thickBot="1" x14ac:dyDescent="0.35">
      <c r="A38" s="207"/>
      <c r="B38" s="227"/>
      <c r="C38" s="207"/>
      <c r="D38" s="228"/>
      <c r="E38" s="229"/>
      <c r="F38" s="229"/>
      <c r="G38" s="229"/>
      <c r="H38" s="229"/>
      <c r="I38" s="229"/>
      <c r="J38" s="229"/>
      <c r="K38" s="229"/>
      <c r="L38" s="229"/>
      <c r="M38" s="229"/>
      <c r="N38" s="229"/>
      <c r="O38" s="229"/>
      <c r="P38" s="229"/>
      <c r="Q38" s="229"/>
      <c r="R38" s="229"/>
      <c r="S38" s="229"/>
      <c r="T38" s="18"/>
      <c r="U38" s="16"/>
      <c r="V38" s="16"/>
      <c r="W38" s="16"/>
      <c r="X38" s="16"/>
      <c r="Y38" s="16"/>
      <c r="Z38" s="16"/>
      <c r="AA38" s="16"/>
      <c r="AB38" s="16"/>
      <c r="AC38" s="16"/>
    </row>
    <row r="39" spans="1:34" s="6" customFormat="1" ht="12.75" customHeight="1" x14ac:dyDescent="0.3">
      <c r="A39" s="207"/>
      <c r="B39" s="275" t="s">
        <v>162</v>
      </c>
      <c r="C39" s="279" t="str">
        <f t="shared" ref="C39:C44" si="15">C32</f>
        <v>Celkové přírůstkové provozní příjmy (CZK)</v>
      </c>
      <c r="D39" s="280"/>
      <c r="E39" s="2552">
        <f>S32+1</f>
        <v>2036</v>
      </c>
      <c r="F39" s="2552">
        <f t="shared" ref="F39:S39" si="16">E39+1</f>
        <v>2037</v>
      </c>
      <c r="G39" s="2552">
        <f t="shared" si="16"/>
        <v>2038</v>
      </c>
      <c r="H39" s="2552">
        <f t="shared" si="16"/>
        <v>2039</v>
      </c>
      <c r="I39" s="2552">
        <f t="shared" si="16"/>
        <v>2040</v>
      </c>
      <c r="J39" s="2552">
        <f t="shared" si="16"/>
        <v>2041</v>
      </c>
      <c r="K39" s="2552">
        <f t="shared" si="16"/>
        <v>2042</v>
      </c>
      <c r="L39" s="2552">
        <f t="shared" si="16"/>
        <v>2043</v>
      </c>
      <c r="M39" s="2552">
        <f t="shared" si="16"/>
        <v>2044</v>
      </c>
      <c r="N39" s="2552">
        <f t="shared" si="16"/>
        <v>2045</v>
      </c>
      <c r="O39" s="2552">
        <f t="shared" si="16"/>
        <v>2046</v>
      </c>
      <c r="P39" s="2552">
        <f t="shared" si="16"/>
        <v>2047</v>
      </c>
      <c r="Q39" s="2552">
        <f t="shared" si="16"/>
        <v>2048</v>
      </c>
      <c r="R39" s="2552">
        <f t="shared" si="16"/>
        <v>2049</v>
      </c>
      <c r="S39" s="2554">
        <f t="shared" si="16"/>
        <v>2050</v>
      </c>
      <c r="T39" s="257"/>
      <c r="U39" s="20"/>
      <c r="V39" s="20"/>
      <c r="W39" s="20"/>
      <c r="X39" s="20"/>
      <c r="Y39" s="20"/>
      <c r="Z39" s="20"/>
      <c r="AA39" s="20"/>
      <c r="AB39" s="20"/>
      <c r="AC39" s="20"/>
    </row>
    <row r="40" spans="1:34" s="6" customFormat="1" ht="12.75" customHeight="1" thickBot="1" x14ac:dyDescent="0.35">
      <c r="A40" s="226"/>
      <c r="B40" s="276" t="s">
        <v>24</v>
      </c>
      <c r="C40" s="281" t="str">
        <f t="shared" si="15"/>
        <v>Přírůstek cash-flow</v>
      </c>
      <c r="D40" s="283"/>
      <c r="E40" s="2553"/>
      <c r="F40" s="2553"/>
      <c r="G40" s="2553"/>
      <c r="H40" s="2553"/>
      <c r="I40" s="2553"/>
      <c r="J40" s="2553"/>
      <c r="K40" s="2553"/>
      <c r="L40" s="2553"/>
      <c r="M40" s="2553"/>
      <c r="N40" s="2553"/>
      <c r="O40" s="2553"/>
      <c r="P40" s="2553"/>
      <c r="Q40" s="2553"/>
      <c r="R40" s="2553"/>
      <c r="S40" s="2555"/>
      <c r="T40" s="257"/>
      <c r="U40" s="20"/>
      <c r="V40" s="20"/>
      <c r="W40" s="20"/>
      <c r="X40" s="20"/>
      <c r="Y40" s="20"/>
      <c r="Z40" s="20"/>
      <c r="AA40" s="20"/>
      <c r="AB40" s="20"/>
      <c r="AC40" s="20"/>
    </row>
    <row r="41" spans="1:34" s="6" customFormat="1" ht="12.75" customHeight="1" x14ac:dyDescent="0.3">
      <c r="A41" s="226"/>
      <c r="B41" s="277"/>
      <c r="C41" s="278" t="str">
        <f t="shared" si="15"/>
        <v>Provozní příjmy - osobní doprava</v>
      </c>
      <c r="D41" s="284"/>
      <c r="E41" s="240">
        <f t="shared" ref="E41:S42" si="17">E11-E26</f>
        <v>0</v>
      </c>
      <c r="F41" s="240">
        <f t="shared" si="17"/>
        <v>0</v>
      </c>
      <c r="G41" s="240">
        <f t="shared" si="17"/>
        <v>0</v>
      </c>
      <c r="H41" s="240">
        <f t="shared" si="17"/>
        <v>0</v>
      </c>
      <c r="I41" s="240">
        <f t="shared" si="17"/>
        <v>0</v>
      </c>
      <c r="J41" s="240">
        <f t="shared" si="17"/>
        <v>0</v>
      </c>
      <c r="K41" s="240">
        <f t="shared" si="17"/>
        <v>0</v>
      </c>
      <c r="L41" s="240">
        <f t="shared" si="17"/>
        <v>0</v>
      </c>
      <c r="M41" s="240">
        <f t="shared" si="17"/>
        <v>0</v>
      </c>
      <c r="N41" s="240">
        <f t="shared" si="17"/>
        <v>0</v>
      </c>
      <c r="O41" s="240">
        <f t="shared" si="17"/>
        <v>0</v>
      </c>
      <c r="P41" s="240">
        <f t="shared" si="17"/>
        <v>0</v>
      </c>
      <c r="Q41" s="240">
        <f t="shared" si="17"/>
        <v>0</v>
      </c>
      <c r="R41" s="240">
        <f t="shared" si="17"/>
        <v>0</v>
      </c>
      <c r="S41" s="274">
        <f>S11-S26</f>
        <v>0</v>
      </c>
      <c r="T41" s="21"/>
      <c r="U41" s="22"/>
      <c r="V41" s="22"/>
      <c r="W41" s="22"/>
      <c r="X41" s="22"/>
      <c r="Y41" s="22"/>
      <c r="Z41" s="22"/>
      <c r="AA41" s="22"/>
      <c r="AB41" s="22"/>
      <c r="AC41" s="22"/>
    </row>
    <row r="42" spans="1:34" s="6" customFormat="1" ht="12.75" customHeight="1" x14ac:dyDescent="0.3">
      <c r="A42" s="226"/>
      <c r="B42" s="273"/>
      <c r="C42" s="254" t="str">
        <f t="shared" si="15"/>
        <v>Provozní příjmy - nákladní doprava</v>
      </c>
      <c r="D42" s="285"/>
      <c r="E42" s="240">
        <f t="shared" si="17"/>
        <v>0</v>
      </c>
      <c r="F42" s="240">
        <f t="shared" si="17"/>
        <v>0</v>
      </c>
      <c r="G42" s="240">
        <f t="shared" si="17"/>
        <v>0</v>
      </c>
      <c r="H42" s="240">
        <f t="shared" si="17"/>
        <v>0</v>
      </c>
      <c r="I42" s="240">
        <f t="shared" si="17"/>
        <v>0</v>
      </c>
      <c r="J42" s="240">
        <f t="shared" si="17"/>
        <v>0</v>
      </c>
      <c r="K42" s="240">
        <f t="shared" si="17"/>
        <v>0</v>
      </c>
      <c r="L42" s="240">
        <f t="shared" si="17"/>
        <v>0</v>
      </c>
      <c r="M42" s="240">
        <f t="shared" si="17"/>
        <v>0</v>
      </c>
      <c r="N42" s="240">
        <f t="shared" si="17"/>
        <v>0</v>
      </c>
      <c r="O42" s="240">
        <f t="shared" si="17"/>
        <v>0</v>
      </c>
      <c r="P42" s="240">
        <f t="shared" si="17"/>
        <v>0</v>
      </c>
      <c r="Q42" s="240">
        <f t="shared" si="17"/>
        <v>0</v>
      </c>
      <c r="R42" s="240">
        <f t="shared" si="17"/>
        <v>0</v>
      </c>
      <c r="S42" s="274">
        <f t="shared" si="17"/>
        <v>0</v>
      </c>
      <c r="T42" s="21"/>
      <c r="U42" s="22"/>
      <c r="V42" s="22"/>
      <c r="W42" s="22"/>
      <c r="X42" s="22"/>
      <c r="Y42" s="22"/>
      <c r="Z42" s="22"/>
      <c r="AA42" s="22"/>
      <c r="AB42" s="22"/>
      <c r="AC42" s="22"/>
    </row>
    <row r="43" spans="1:34" s="6" customFormat="1" ht="12.75" customHeight="1" x14ac:dyDescent="0.3">
      <c r="A43" s="226"/>
      <c r="B43" s="273"/>
      <c r="C43" s="186" t="str">
        <f t="shared" si="15"/>
        <v>Ostatní příjmy</v>
      </c>
      <c r="D43" s="285"/>
      <c r="E43" s="240">
        <f t="shared" ref="E43:R43" si="18">E13-E28</f>
        <v>0</v>
      </c>
      <c r="F43" s="240">
        <f t="shared" si="18"/>
        <v>0</v>
      </c>
      <c r="G43" s="240">
        <f t="shared" si="18"/>
        <v>0</v>
      </c>
      <c r="H43" s="240">
        <f t="shared" si="18"/>
        <v>0</v>
      </c>
      <c r="I43" s="240">
        <f t="shared" si="18"/>
        <v>0</v>
      </c>
      <c r="J43" s="240">
        <f t="shared" si="18"/>
        <v>0</v>
      </c>
      <c r="K43" s="240">
        <f t="shared" si="18"/>
        <v>0</v>
      </c>
      <c r="L43" s="240">
        <f t="shared" si="18"/>
        <v>0</v>
      </c>
      <c r="M43" s="240">
        <f t="shared" si="18"/>
        <v>0</v>
      </c>
      <c r="N43" s="240">
        <f t="shared" si="18"/>
        <v>0</v>
      </c>
      <c r="O43" s="240">
        <f t="shared" si="18"/>
        <v>0</v>
      </c>
      <c r="P43" s="240">
        <f t="shared" si="18"/>
        <v>0</v>
      </c>
      <c r="Q43" s="240">
        <f t="shared" si="18"/>
        <v>0</v>
      </c>
      <c r="R43" s="240">
        <f t="shared" si="18"/>
        <v>0</v>
      </c>
      <c r="S43" s="274">
        <f>S13-S28</f>
        <v>0</v>
      </c>
      <c r="T43" s="21"/>
      <c r="U43" s="22"/>
      <c r="V43" s="22"/>
      <c r="W43" s="22"/>
      <c r="X43" s="22"/>
      <c r="Y43" s="22"/>
      <c r="Z43" s="22"/>
      <c r="AA43" s="22"/>
      <c r="AB43" s="22"/>
      <c r="AC43" s="22"/>
    </row>
    <row r="44" spans="1:34" s="6" customFormat="1" ht="15" thickBot="1" x14ac:dyDescent="0.35">
      <c r="A44" s="207"/>
      <c r="B44" s="726"/>
      <c r="C44" s="727" t="str">
        <f t="shared" si="15"/>
        <v>Celkové přírůstkové provozní příjmy (CZK)</v>
      </c>
      <c r="D44" s="730"/>
      <c r="E44" s="728">
        <f t="shared" ref="E44:R44" si="19">E14-E29</f>
        <v>0</v>
      </c>
      <c r="F44" s="728">
        <f t="shared" si="19"/>
        <v>0</v>
      </c>
      <c r="G44" s="728">
        <f t="shared" si="19"/>
        <v>0</v>
      </c>
      <c r="H44" s="728">
        <f t="shared" si="19"/>
        <v>0</v>
      </c>
      <c r="I44" s="728">
        <f t="shared" si="19"/>
        <v>0</v>
      </c>
      <c r="J44" s="728">
        <f t="shared" si="19"/>
        <v>0</v>
      </c>
      <c r="K44" s="728">
        <f t="shared" si="19"/>
        <v>0</v>
      </c>
      <c r="L44" s="728">
        <f t="shared" si="19"/>
        <v>0</v>
      </c>
      <c r="M44" s="728">
        <f t="shared" si="19"/>
        <v>0</v>
      </c>
      <c r="N44" s="728">
        <f t="shared" si="19"/>
        <v>0</v>
      </c>
      <c r="O44" s="728">
        <f t="shared" si="19"/>
        <v>0</v>
      </c>
      <c r="P44" s="728">
        <f t="shared" si="19"/>
        <v>0</v>
      </c>
      <c r="Q44" s="728">
        <f t="shared" si="19"/>
        <v>0</v>
      </c>
      <c r="R44" s="728">
        <f t="shared" si="19"/>
        <v>0</v>
      </c>
      <c r="S44" s="729">
        <f>S14-S29</f>
        <v>0</v>
      </c>
      <c r="T44" s="21"/>
      <c r="U44" s="22"/>
      <c r="V44" s="22"/>
      <c r="W44" s="22"/>
      <c r="X44" s="22"/>
      <c r="Y44" s="22"/>
      <c r="Z44" s="22"/>
      <c r="AA44" s="22"/>
      <c r="AB44" s="22"/>
      <c r="AC44" s="22"/>
    </row>
    <row r="45" spans="1:34" s="6" customFormat="1" ht="14.25" x14ac:dyDescent="0.3">
      <c r="A45" s="207"/>
      <c r="B45" s="217"/>
      <c r="C45" s="218"/>
      <c r="D45" s="219"/>
      <c r="E45" s="220"/>
      <c r="F45" s="220"/>
      <c r="G45" s="220"/>
      <c r="H45" s="220"/>
      <c r="I45" s="220"/>
      <c r="J45" s="220"/>
      <c r="K45" s="220"/>
      <c r="L45" s="220"/>
      <c r="M45" s="220"/>
      <c r="N45" s="220"/>
      <c r="O45" s="220"/>
      <c r="P45" s="220"/>
      <c r="Q45" s="220"/>
      <c r="R45" s="220"/>
      <c r="S45" s="220"/>
      <c r="T45" s="12"/>
    </row>
    <row r="46" spans="1:34" s="6" customFormat="1" ht="14.25" thickBot="1" x14ac:dyDescent="0.35">
      <c r="A46" s="207"/>
      <c r="B46" s="217"/>
      <c r="C46" s="207"/>
      <c r="D46" s="208"/>
      <c r="E46" s="208"/>
      <c r="F46" s="208"/>
      <c r="G46" s="208"/>
      <c r="H46" s="208"/>
      <c r="I46" s="208"/>
      <c r="J46" s="208"/>
      <c r="K46" s="208"/>
      <c r="L46" s="208"/>
      <c r="M46" s="208"/>
      <c r="N46" s="208"/>
      <c r="O46" s="208"/>
      <c r="P46" s="208"/>
      <c r="Q46" s="208"/>
      <c r="R46" s="208"/>
      <c r="S46" s="208"/>
      <c r="T46" s="12"/>
      <c r="U46" s="4"/>
      <c r="V46" s="4"/>
      <c r="W46" s="4"/>
      <c r="X46" s="4"/>
      <c r="Y46" s="4"/>
      <c r="Z46" s="4"/>
      <c r="AA46" s="4"/>
      <c r="AB46" s="4"/>
      <c r="AC46" s="4"/>
      <c r="AD46" s="4"/>
      <c r="AE46" s="4"/>
      <c r="AF46" s="4"/>
      <c r="AG46" s="4"/>
      <c r="AH46" s="4"/>
    </row>
    <row r="47" spans="1:34" s="6" customFormat="1" ht="14.25" x14ac:dyDescent="0.3">
      <c r="A47" s="207"/>
      <c r="B47" s="574"/>
      <c r="C47" s="575" t="str">
        <f>IF('0 Úvod'!$M$10="English",Slovnik!D419,Slovnik!C419)</f>
        <v>Scénář s projektem (CZK)</v>
      </c>
      <c r="D47" s="428">
        <f>D7</f>
        <v>14724920</v>
      </c>
      <c r="E47" s="25"/>
      <c r="F47" s="25"/>
      <c r="G47" s="25"/>
      <c r="H47" s="25"/>
      <c r="I47" s="25"/>
      <c r="J47" s="25"/>
      <c r="K47" s="25"/>
      <c r="L47" s="25"/>
      <c r="M47" s="25"/>
      <c r="N47" s="25"/>
      <c r="O47" s="25"/>
      <c r="P47" s="25"/>
      <c r="Q47" s="25"/>
      <c r="R47" s="25"/>
      <c r="S47" s="25"/>
      <c r="T47" s="12"/>
      <c r="U47" s="4"/>
      <c r="V47" s="4"/>
      <c r="W47" s="4"/>
      <c r="X47" s="4"/>
      <c r="Y47" s="4"/>
      <c r="Z47" s="4"/>
      <c r="AA47" s="4"/>
      <c r="AB47" s="4"/>
      <c r="AC47" s="4"/>
      <c r="AD47" s="4"/>
      <c r="AE47" s="4"/>
      <c r="AF47" s="4"/>
      <c r="AG47" s="4"/>
      <c r="AH47" s="4"/>
    </row>
    <row r="48" spans="1:34" s="6" customFormat="1" ht="14.25" x14ac:dyDescent="0.3">
      <c r="A48" s="207"/>
      <c r="B48" s="576"/>
      <c r="C48" s="577" t="str">
        <f>IF('0 Úvod'!$M$10="English",Slovnik!D420,Slovnik!C420)</f>
        <v>Scénář bez projektu (CZK)</v>
      </c>
      <c r="D48" s="429">
        <f>D22</f>
        <v>7362460</v>
      </c>
      <c r="E48" s="25"/>
      <c r="F48" s="25"/>
      <c r="G48" s="25"/>
      <c r="H48" s="25"/>
      <c r="I48" s="25"/>
      <c r="J48" s="25"/>
      <c r="K48" s="25"/>
      <c r="L48" s="25"/>
      <c r="M48" s="25"/>
      <c r="N48" s="25"/>
      <c r="O48" s="25"/>
      <c r="P48" s="25"/>
      <c r="Q48" s="25"/>
      <c r="R48" s="25"/>
      <c r="S48" s="25"/>
      <c r="T48" s="12"/>
      <c r="U48" s="4"/>
      <c r="V48" s="4"/>
      <c r="W48" s="4"/>
      <c r="X48" s="4"/>
      <c r="Y48" s="4"/>
      <c r="Z48" s="4"/>
      <c r="AA48" s="4"/>
      <c r="AB48" s="4"/>
      <c r="AC48" s="4"/>
      <c r="AD48" s="4"/>
      <c r="AE48" s="4"/>
      <c r="AF48" s="4"/>
      <c r="AG48" s="4"/>
      <c r="AH48" s="4"/>
    </row>
    <row r="49" spans="1:34" s="6" customFormat="1" ht="15" thickBot="1" x14ac:dyDescent="0.35">
      <c r="A49" s="207"/>
      <c r="B49" s="578"/>
      <c r="C49" s="579" t="str">
        <f>IF('0 Úvod'!$M$10="English",Slovnik!D421,Slovnik!C421)</f>
        <v>Přírůstek cash-flow (CZK)</v>
      </c>
      <c r="D49" s="430">
        <f>D37</f>
        <v>7362460</v>
      </c>
      <c r="E49" s="25"/>
      <c r="F49" s="25"/>
      <c r="G49" s="25"/>
      <c r="H49" s="25"/>
      <c r="I49" s="25"/>
      <c r="J49" s="25"/>
      <c r="K49" s="25"/>
      <c r="L49" s="207"/>
      <c r="M49" s="207"/>
      <c r="N49" s="25"/>
      <c r="O49" s="25"/>
      <c r="P49" s="25"/>
      <c r="Q49" s="25"/>
      <c r="R49" s="25"/>
      <c r="S49" s="25"/>
      <c r="T49" s="12"/>
      <c r="U49" s="4"/>
      <c r="V49" s="4"/>
      <c r="W49" s="4"/>
      <c r="X49" s="4"/>
      <c r="Y49" s="4"/>
      <c r="Z49" s="4"/>
      <c r="AA49" s="4"/>
      <c r="AB49" s="4"/>
      <c r="AC49" s="4"/>
      <c r="AD49" s="4"/>
      <c r="AE49" s="4"/>
      <c r="AF49" s="4"/>
      <c r="AG49" s="4"/>
      <c r="AH49" s="4"/>
    </row>
    <row r="50" spans="1:34" s="6" customFormat="1" ht="14.25" x14ac:dyDescent="0.3">
      <c r="A50" s="207"/>
      <c r="B50" s="230"/>
      <c r="C50" s="231"/>
      <c r="D50" s="232"/>
      <c r="E50" s="25"/>
      <c r="F50" s="25"/>
      <c r="G50" s="25"/>
      <c r="H50" s="25"/>
      <c r="I50" s="25"/>
      <c r="J50" s="25"/>
      <c r="K50" s="25"/>
      <c r="L50" s="25"/>
      <c r="M50" s="25"/>
      <c r="N50" s="25"/>
      <c r="O50" s="25"/>
      <c r="P50" s="25"/>
      <c r="Q50" s="25"/>
      <c r="R50" s="25"/>
      <c r="S50" s="25"/>
      <c r="T50" s="12"/>
      <c r="U50" s="4"/>
      <c r="V50" s="4"/>
      <c r="W50" s="4"/>
      <c r="X50" s="4"/>
      <c r="Y50" s="4"/>
      <c r="Z50" s="4"/>
      <c r="AA50" s="4"/>
      <c r="AB50" s="4"/>
      <c r="AC50" s="4"/>
      <c r="AD50" s="4"/>
      <c r="AE50" s="4"/>
      <c r="AF50" s="4"/>
      <c r="AG50" s="4"/>
      <c r="AH50" s="4"/>
    </row>
    <row r="51" spans="1:34" ht="14.25" thickBot="1" x14ac:dyDescent="0.35">
      <c r="A51" s="207"/>
      <c r="B51" s="25"/>
      <c r="C51" s="25"/>
      <c r="D51" s="25"/>
      <c r="E51" s="25"/>
      <c r="F51" s="25"/>
      <c r="G51" s="25"/>
      <c r="H51" s="25"/>
      <c r="I51" s="25"/>
      <c r="J51" s="25"/>
      <c r="K51" s="25"/>
      <c r="L51" s="25"/>
      <c r="M51" s="25"/>
      <c r="N51" s="25"/>
      <c r="O51" s="25"/>
      <c r="P51" s="25"/>
      <c r="Q51" s="25"/>
      <c r="R51" s="25"/>
      <c r="S51" s="25"/>
    </row>
    <row r="52" spans="1:34" ht="14.25" x14ac:dyDescent="0.3">
      <c r="A52" s="207"/>
      <c r="B52" s="286" t="s">
        <v>170</v>
      </c>
      <c r="C52" s="287" t="str">
        <f>IF('0 Úvod'!$M$10="English",Slovnik!$D$422,Slovnik!$C$422)</f>
        <v>Celkové výkony</v>
      </c>
      <c r="D52" s="288"/>
      <c r="E52" s="2550">
        <f>E2</f>
        <v>2021</v>
      </c>
      <c r="F52" s="2550">
        <f t="shared" ref="F52:S52" si="20">E52+1</f>
        <v>2022</v>
      </c>
      <c r="G52" s="2550">
        <f t="shared" si="20"/>
        <v>2023</v>
      </c>
      <c r="H52" s="2550">
        <f t="shared" si="20"/>
        <v>2024</v>
      </c>
      <c r="I52" s="2550">
        <f t="shared" si="20"/>
        <v>2025</v>
      </c>
      <c r="J52" s="2550">
        <f t="shared" si="20"/>
        <v>2026</v>
      </c>
      <c r="K52" s="2550">
        <f t="shared" si="20"/>
        <v>2027</v>
      </c>
      <c r="L52" s="2550">
        <f t="shared" si="20"/>
        <v>2028</v>
      </c>
      <c r="M52" s="2550">
        <f t="shared" si="20"/>
        <v>2029</v>
      </c>
      <c r="N52" s="2550">
        <f t="shared" si="20"/>
        <v>2030</v>
      </c>
      <c r="O52" s="2550">
        <f t="shared" si="20"/>
        <v>2031</v>
      </c>
      <c r="P52" s="2550">
        <f t="shared" si="20"/>
        <v>2032</v>
      </c>
      <c r="Q52" s="2550">
        <f t="shared" si="20"/>
        <v>2033</v>
      </c>
      <c r="R52" s="2550">
        <f t="shared" si="20"/>
        <v>2034</v>
      </c>
      <c r="S52" s="2561">
        <f t="shared" si="20"/>
        <v>2035</v>
      </c>
      <c r="T52" s="2560"/>
      <c r="U52" s="2560"/>
      <c r="V52" s="2560"/>
      <c r="W52" s="2560"/>
      <c r="X52" s="2560"/>
      <c r="Y52" s="2560"/>
      <c r="Z52" s="2560"/>
      <c r="AA52" s="2560"/>
      <c r="AB52" s="2560"/>
      <c r="AC52" s="2560"/>
    </row>
    <row r="53" spans="1:34" ht="15" thickBot="1" x14ac:dyDescent="0.35">
      <c r="A53" s="207"/>
      <c r="B53" s="259" t="s">
        <v>23</v>
      </c>
      <c r="C53" s="289" t="str">
        <f>C10</f>
        <v>Scénář s projektem</v>
      </c>
      <c r="D53" s="261" t="str">
        <f>D33</f>
        <v>Celkem</v>
      </c>
      <c r="E53" s="2551"/>
      <c r="F53" s="2551"/>
      <c r="G53" s="2551"/>
      <c r="H53" s="2551"/>
      <c r="I53" s="2551"/>
      <c r="J53" s="2551"/>
      <c r="K53" s="2551"/>
      <c r="L53" s="2551"/>
      <c r="M53" s="2551"/>
      <c r="N53" s="2551"/>
      <c r="O53" s="2551"/>
      <c r="P53" s="2551"/>
      <c r="Q53" s="2551"/>
      <c r="R53" s="2551"/>
      <c r="S53" s="2562"/>
      <c r="T53" s="2560"/>
      <c r="U53" s="2560"/>
      <c r="V53" s="2560"/>
      <c r="W53" s="2560"/>
      <c r="X53" s="2560"/>
      <c r="Y53" s="2560"/>
      <c r="Z53" s="2560"/>
      <c r="AA53" s="2560"/>
      <c r="AB53" s="2560"/>
      <c r="AC53" s="2560"/>
    </row>
    <row r="54" spans="1:34" ht="14.25" x14ac:dyDescent="0.3">
      <c r="A54" s="2127"/>
      <c r="B54" s="2117"/>
      <c r="C54" s="256"/>
      <c r="D54" s="376">
        <f>SUM(E54:S54,E70:S70)</f>
        <v>0</v>
      </c>
      <c r="E54" s="239"/>
      <c r="F54" s="239"/>
      <c r="G54" s="239"/>
      <c r="H54" s="239"/>
      <c r="I54" s="239"/>
      <c r="J54" s="239"/>
      <c r="K54" s="239"/>
      <c r="L54" s="239"/>
      <c r="M54" s="239"/>
      <c r="N54" s="239"/>
      <c r="O54" s="239"/>
      <c r="P54" s="239"/>
      <c r="Q54" s="239"/>
      <c r="R54" s="239"/>
      <c r="S54" s="239"/>
      <c r="T54" s="2120"/>
      <c r="U54" s="15"/>
      <c r="V54" s="15"/>
      <c r="W54" s="15"/>
      <c r="X54" s="15"/>
      <c r="Y54" s="15"/>
      <c r="Z54" s="15"/>
      <c r="AA54" s="15"/>
      <c r="AB54" s="15"/>
      <c r="AC54" s="5"/>
    </row>
    <row r="55" spans="1:34" ht="14.25" x14ac:dyDescent="0.3">
      <c r="A55" s="2127"/>
      <c r="B55" s="2117"/>
      <c r="C55" s="256"/>
      <c r="D55" s="375">
        <f t="shared" ref="D55:D65" si="21">SUM(E55:S55,E71:S71)</f>
        <v>0</v>
      </c>
      <c r="E55" s="239"/>
      <c r="F55" s="239"/>
      <c r="G55" s="239"/>
      <c r="H55" s="239"/>
      <c r="I55" s="239"/>
      <c r="J55" s="239"/>
      <c r="K55" s="239"/>
      <c r="L55" s="239"/>
      <c r="M55" s="239"/>
      <c r="N55" s="239"/>
      <c r="O55" s="239"/>
      <c r="P55" s="239"/>
      <c r="Q55" s="239"/>
      <c r="R55" s="239"/>
      <c r="S55" s="239"/>
      <c r="T55" s="2120"/>
      <c r="U55" s="15"/>
      <c r="V55" s="15"/>
      <c r="W55" s="15"/>
      <c r="X55" s="15"/>
      <c r="Y55" s="15"/>
      <c r="Z55" s="15"/>
      <c r="AA55" s="15"/>
      <c r="AB55" s="15"/>
      <c r="AC55" s="5"/>
    </row>
    <row r="56" spans="1:34" ht="14.25" x14ac:dyDescent="0.3">
      <c r="A56" s="2127"/>
      <c r="B56" s="2117"/>
      <c r="C56" s="256"/>
      <c r="D56" s="375">
        <f t="shared" si="21"/>
        <v>0</v>
      </c>
      <c r="E56" s="239"/>
      <c r="F56" s="239"/>
      <c r="G56" s="239"/>
      <c r="H56" s="239"/>
      <c r="I56" s="239"/>
      <c r="J56" s="239"/>
      <c r="K56" s="239"/>
      <c r="L56" s="239"/>
      <c r="M56" s="239"/>
      <c r="N56" s="239"/>
      <c r="O56" s="239"/>
      <c r="P56" s="239"/>
      <c r="Q56" s="239"/>
      <c r="R56" s="239"/>
      <c r="S56" s="239"/>
      <c r="T56" s="2120"/>
      <c r="U56" s="15"/>
      <c r="V56" s="15"/>
      <c r="W56" s="15"/>
      <c r="X56" s="15"/>
      <c r="Y56" s="15"/>
      <c r="Z56" s="15"/>
      <c r="AA56" s="15"/>
      <c r="AB56" s="15"/>
      <c r="AC56" s="5"/>
    </row>
    <row r="57" spans="1:34" ht="14.25" x14ac:dyDescent="0.3">
      <c r="A57" s="2127"/>
      <c r="B57" s="2117"/>
      <c r="C57" s="256"/>
      <c r="D57" s="375">
        <f t="shared" si="21"/>
        <v>0</v>
      </c>
      <c r="E57" s="241"/>
      <c r="F57" s="241"/>
      <c r="G57" s="241"/>
      <c r="H57" s="241"/>
      <c r="I57" s="239"/>
      <c r="J57" s="239"/>
      <c r="K57" s="239"/>
      <c r="L57" s="239"/>
      <c r="M57" s="239"/>
      <c r="N57" s="239"/>
      <c r="O57" s="239"/>
      <c r="P57" s="239"/>
      <c r="Q57" s="239"/>
      <c r="R57" s="239"/>
      <c r="S57" s="239"/>
      <c r="T57" s="2120"/>
      <c r="U57" s="15"/>
      <c r="V57" s="15"/>
      <c r="W57" s="15"/>
      <c r="X57" s="15"/>
      <c r="Y57" s="15"/>
      <c r="Z57" s="15"/>
      <c r="AA57" s="15"/>
      <c r="AB57" s="15"/>
      <c r="AC57" s="5"/>
    </row>
    <row r="58" spans="1:34" ht="14.25" x14ac:dyDescent="0.3">
      <c r="A58" s="2127"/>
      <c r="B58" s="2117"/>
      <c r="C58" s="256"/>
      <c r="D58" s="375">
        <f t="shared" si="21"/>
        <v>0</v>
      </c>
      <c r="E58" s="239"/>
      <c r="F58" s="239"/>
      <c r="G58" s="239"/>
      <c r="H58" s="239"/>
      <c r="I58" s="239"/>
      <c r="J58" s="239"/>
      <c r="K58" s="239"/>
      <c r="L58" s="239"/>
      <c r="M58" s="239"/>
      <c r="N58" s="239"/>
      <c r="O58" s="239"/>
      <c r="P58" s="239"/>
      <c r="Q58" s="239"/>
      <c r="R58" s="239"/>
      <c r="S58" s="239"/>
      <c r="T58" s="2120"/>
      <c r="U58" s="15"/>
      <c r="V58" s="15"/>
      <c r="W58" s="15"/>
      <c r="X58" s="15"/>
      <c r="Y58" s="15"/>
      <c r="Z58" s="15"/>
      <c r="AA58" s="15"/>
      <c r="AB58" s="15"/>
      <c r="AC58" s="5"/>
    </row>
    <row r="59" spans="1:34" ht="14.25" x14ac:dyDescent="0.3">
      <c r="A59" s="2127"/>
      <c r="B59" s="2117"/>
      <c r="C59" s="256"/>
      <c r="D59" s="375">
        <f t="shared" si="21"/>
        <v>0</v>
      </c>
      <c r="E59" s="239"/>
      <c r="F59" s="239"/>
      <c r="G59" s="239"/>
      <c r="H59" s="239"/>
      <c r="I59" s="239"/>
      <c r="J59" s="239"/>
      <c r="K59" s="239"/>
      <c r="L59" s="239"/>
      <c r="M59" s="239"/>
      <c r="N59" s="239"/>
      <c r="O59" s="239"/>
      <c r="P59" s="239"/>
      <c r="Q59" s="239"/>
      <c r="R59" s="239"/>
      <c r="S59" s="239"/>
      <c r="T59" s="2120"/>
      <c r="U59" s="15"/>
      <c r="V59" s="15"/>
      <c r="W59" s="15"/>
      <c r="X59" s="15"/>
      <c r="Y59" s="15"/>
      <c r="Z59" s="15"/>
      <c r="AA59" s="15"/>
      <c r="AB59" s="15"/>
      <c r="AC59" s="5"/>
    </row>
    <row r="60" spans="1:34" ht="14.25" x14ac:dyDescent="0.3">
      <c r="A60" s="2127"/>
      <c r="B60" s="2117"/>
      <c r="C60" s="256"/>
      <c r="D60" s="375">
        <f t="shared" si="21"/>
        <v>0</v>
      </c>
      <c r="E60" s="241"/>
      <c r="F60" s="241"/>
      <c r="G60" s="241"/>
      <c r="H60" s="241"/>
      <c r="I60" s="239"/>
      <c r="J60" s="239"/>
      <c r="K60" s="239"/>
      <c r="L60" s="239"/>
      <c r="M60" s="239"/>
      <c r="N60" s="239"/>
      <c r="O60" s="239"/>
      <c r="P60" s="239"/>
      <c r="Q60" s="239"/>
      <c r="R60" s="239"/>
      <c r="S60" s="239"/>
      <c r="T60" s="2120"/>
      <c r="U60" s="15"/>
      <c r="V60" s="15"/>
      <c r="W60" s="15"/>
      <c r="X60" s="15"/>
      <c r="Y60" s="15"/>
      <c r="Z60" s="15"/>
      <c r="AA60" s="15"/>
      <c r="AB60" s="15"/>
      <c r="AC60" s="5"/>
    </row>
    <row r="61" spans="1:34" ht="14.25" x14ac:dyDescent="0.3">
      <c r="A61" s="2127"/>
      <c r="B61" s="2117"/>
      <c r="C61" s="256"/>
      <c r="D61" s="375">
        <f t="shared" si="21"/>
        <v>0</v>
      </c>
      <c r="E61" s="241"/>
      <c r="F61" s="241"/>
      <c r="G61" s="241"/>
      <c r="H61" s="241"/>
      <c r="I61" s="239"/>
      <c r="J61" s="239"/>
      <c r="K61" s="239"/>
      <c r="L61" s="239"/>
      <c r="M61" s="239"/>
      <c r="N61" s="239"/>
      <c r="O61" s="239"/>
      <c r="P61" s="239"/>
      <c r="Q61" s="239"/>
      <c r="R61" s="239"/>
      <c r="S61" s="239"/>
      <c r="T61" s="2120"/>
      <c r="U61" s="15"/>
      <c r="V61" s="15"/>
      <c r="W61" s="15"/>
      <c r="X61" s="15"/>
      <c r="Y61" s="15"/>
      <c r="Z61" s="15"/>
      <c r="AA61" s="15"/>
      <c r="AB61" s="15"/>
      <c r="AC61" s="5"/>
    </row>
    <row r="62" spans="1:34" ht="14.25" x14ac:dyDescent="0.3">
      <c r="A62" s="2127"/>
      <c r="B62" s="2117"/>
      <c r="C62" s="256"/>
      <c r="D62" s="375">
        <f t="shared" si="21"/>
        <v>0</v>
      </c>
      <c r="E62" s="241"/>
      <c r="F62" s="241"/>
      <c r="G62" s="241"/>
      <c r="H62" s="241"/>
      <c r="I62" s="239"/>
      <c r="J62" s="239"/>
      <c r="K62" s="239"/>
      <c r="L62" s="239"/>
      <c r="M62" s="239"/>
      <c r="N62" s="239"/>
      <c r="O62" s="239"/>
      <c r="P62" s="239"/>
      <c r="Q62" s="239"/>
      <c r="R62" s="239"/>
      <c r="S62" s="239"/>
      <c r="T62" s="2120"/>
      <c r="U62" s="15"/>
      <c r="V62" s="15"/>
      <c r="W62" s="15"/>
      <c r="X62" s="15"/>
      <c r="Y62" s="15"/>
      <c r="Z62" s="15"/>
      <c r="AA62" s="15"/>
      <c r="AB62" s="15"/>
      <c r="AC62" s="5"/>
    </row>
    <row r="63" spans="1:34" ht="14.25" x14ac:dyDescent="0.3">
      <c r="A63" s="2127"/>
      <c r="B63" s="2117"/>
      <c r="C63" s="256"/>
      <c r="D63" s="375">
        <f t="shared" si="21"/>
        <v>0</v>
      </c>
      <c r="E63" s="241"/>
      <c r="F63" s="241"/>
      <c r="G63" s="241"/>
      <c r="H63" s="241"/>
      <c r="I63" s="239"/>
      <c r="J63" s="239"/>
      <c r="K63" s="239"/>
      <c r="L63" s="239"/>
      <c r="M63" s="239"/>
      <c r="N63" s="239"/>
      <c r="O63" s="239"/>
      <c r="P63" s="239"/>
      <c r="Q63" s="239"/>
      <c r="R63" s="239"/>
      <c r="S63" s="239"/>
      <c r="T63" s="2120"/>
      <c r="U63" s="15"/>
      <c r="V63" s="15"/>
      <c r="W63" s="15"/>
      <c r="X63" s="15"/>
      <c r="Y63" s="15"/>
      <c r="Z63" s="15"/>
      <c r="AA63" s="15"/>
      <c r="AB63" s="15"/>
      <c r="AC63" s="5"/>
    </row>
    <row r="64" spans="1:34" ht="14.25" x14ac:dyDescent="0.3">
      <c r="A64" s="2127"/>
      <c r="B64" s="2117"/>
      <c r="C64" s="256"/>
      <c r="D64" s="375">
        <f t="shared" si="21"/>
        <v>0</v>
      </c>
      <c r="E64" s="241"/>
      <c r="F64" s="241"/>
      <c r="G64" s="241"/>
      <c r="H64" s="241"/>
      <c r="I64" s="239"/>
      <c r="J64" s="239"/>
      <c r="K64" s="239"/>
      <c r="L64" s="239"/>
      <c r="M64" s="239"/>
      <c r="N64" s="239"/>
      <c r="O64" s="239"/>
      <c r="P64" s="239"/>
      <c r="Q64" s="239"/>
      <c r="R64" s="239"/>
      <c r="S64" s="239"/>
      <c r="T64" s="2120"/>
      <c r="U64" s="15"/>
      <c r="V64" s="15"/>
      <c r="W64" s="15"/>
      <c r="X64" s="15"/>
      <c r="Y64" s="15"/>
      <c r="Z64" s="15"/>
      <c r="AA64" s="15"/>
      <c r="AB64" s="15"/>
      <c r="AC64" s="5"/>
    </row>
    <row r="65" spans="1:29" ht="15" thickBot="1" x14ac:dyDescent="0.35">
      <c r="A65" s="2127"/>
      <c r="B65" s="2117"/>
      <c r="C65" s="256"/>
      <c r="D65" s="377">
        <f t="shared" si="21"/>
        <v>0</v>
      </c>
      <c r="E65" s="241"/>
      <c r="F65" s="241"/>
      <c r="G65" s="241"/>
      <c r="H65" s="241"/>
      <c r="I65" s="241"/>
      <c r="J65" s="241"/>
      <c r="K65" s="241"/>
      <c r="L65" s="241"/>
      <c r="M65" s="241"/>
      <c r="N65" s="241"/>
      <c r="O65" s="241"/>
      <c r="P65" s="241"/>
      <c r="Q65" s="241"/>
      <c r="R65" s="241"/>
      <c r="S65" s="241"/>
      <c r="T65" s="2121"/>
      <c r="U65" s="17"/>
      <c r="V65" s="17"/>
      <c r="W65" s="17"/>
      <c r="X65" s="17"/>
      <c r="Y65" s="17"/>
      <c r="Z65" s="17"/>
      <c r="AA65" s="17"/>
      <c r="AB65" s="17"/>
      <c r="AC65" s="5"/>
    </row>
    <row r="66" spans="1:29" ht="13.5" x14ac:dyDescent="0.3">
      <c r="A66" s="207"/>
      <c r="B66" s="2128"/>
      <c r="C66" s="2129"/>
      <c r="D66" s="214"/>
      <c r="E66" s="2124"/>
      <c r="F66" s="2124"/>
      <c r="G66" s="2124"/>
      <c r="H66" s="2124"/>
      <c r="I66" s="2124"/>
      <c r="J66" s="2124"/>
      <c r="K66" s="2124"/>
      <c r="L66" s="2124"/>
      <c r="M66" s="2124"/>
      <c r="N66" s="2124"/>
      <c r="O66" s="2124"/>
      <c r="P66" s="2124"/>
      <c r="Q66" s="2124"/>
      <c r="R66" s="2124"/>
      <c r="S66" s="2124"/>
      <c r="T66" s="5"/>
      <c r="U66" s="5"/>
      <c r="V66" s="5"/>
      <c r="W66" s="5"/>
      <c r="X66" s="5"/>
      <c r="Y66" s="5"/>
      <c r="Z66" s="5"/>
      <c r="AA66" s="5"/>
      <c r="AB66" s="5"/>
      <c r="AC66" s="5"/>
    </row>
    <row r="67" spans="1:29" ht="14.25" thickBot="1" x14ac:dyDescent="0.35">
      <c r="A67" s="207"/>
      <c r="B67" s="213"/>
      <c r="C67" s="207"/>
      <c r="D67" s="214"/>
      <c r="E67" s="215"/>
      <c r="F67" s="215"/>
      <c r="G67" s="215"/>
      <c r="H67" s="215"/>
      <c r="I67" s="215"/>
      <c r="J67" s="215"/>
      <c r="K67" s="215"/>
      <c r="L67" s="215"/>
      <c r="M67" s="215"/>
      <c r="N67" s="215"/>
      <c r="O67" s="215"/>
      <c r="P67" s="215"/>
      <c r="Q67" s="215"/>
      <c r="R67" s="215"/>
      <c r="S67" s="215"/>
      <c r="T67" s="5"/>
      <c r="U67" s="5"/>
      <c r="V67" s="5"/>
      <c r="W67" s="5"/>
      <c r="X67" s="5"/>
      <c r="Y67" s="5"/>
      <c r="Z67" s="5"/>
      <c r="AA67" s="5"/>
      <c r="AB67" s="5"/>
      <c r="AC67" s="5"/>
    </row>
    <row r="68" spans="1:29" ht="14.25" x14ac:dyDescent="0.3">
      <c r="A68" s="207"/>
      <c r="B68" s="286" t="str">
        <f>B52</f>
        <v>8.4.</v>
      </c>
      <c r="C68" s="40" t="str">
        <f>C52</f>
        <v>Celkové výkony</v>
      </c>
      <c r="D68" s="42"/>
      <c r="E68" s="2558">
        <f>S52+1</f>
        <v>2036</v>
      </c>
      <c r="F68" s="2550">
        <f t="shared" ref="F68:S68" si="22">E68+1</f>
        <v>2037</v>
      </c>
      <c r="G68" s="2550">
        <f t="shared" si="22"/>
        <v>2038</v>
      </c>
      <c r="H68" s="2550">
        <f t="shared" si="22"/>
        <v>2039</v>
      </c>
      <c r="I68" s="2550">
        <f t="shared" si="22"/>
        <v>2040</v>
      </c>
      <c r="J68" s="2550">
        <f t="shared" si="22"/>
        <v>2041</v>
      </c>
      <c r="K68" s="2550">
        <f t="shared" si="22"/>
        <v>2042</v>
      </c>
      <c r="L68" s="2550">
        <f t="shared" si="22"/>
        <v>2043</v>
      </c>
      <c r="M68" s="2550">
        <f t="shared" si="22"/>
        <v>2044</v>
      </c>
      <c r="N68" s="2550">
        <f t="shared" si="22"/>
        <v>2045</v>
      </c>
      <c r="O68" s="2550">
        <f t="shared" si="22"/>
        <v>2046</v>
      </c>
      <c r="P68" s="2550">
        <f t="shared" si="22"/>
        <v>2047</v>
      </c>
      <c r="Q68" s="2550">
        <f t="shared" si="22"/>
        <v>2048</v>
      </c>
      <c r="R68" s="2550">
        <f t="shared" si="22"/>
        <v>2049</v>
      </c>
      <c r="S68" s="2561">
        <f t="shared" si="22"/>
        <v>2050</v>
      </c>
      <c r="T68" s="2560"/>
      <c r="U68" s="2560"/>
      <c r="V68" s="2560"/>
      <c r="W68" s="2560"/>
      <c r="X68" s="2560"/>
      <c r="Y68" s="2560"/>
      <c r="Z68" s="2560"/>
      <c r="AA68" s="2560"/>
      <c r="AB68" s="2560"/>
      <c r="AC68" s="2560"/>
    </row>
    <row r="69" spans="1:29" ht="15" thickBot="1" x14ac:dyDescent="0.35">
      <c r="A69" s="207"/>
      <c r="B69" s="259" t="s">
        <v>24</v>
      </c>
      <c r="C69" s="260" t="str">
        <f>C53</f>
        <v>Scénář s projektem</v>
      </c>
      <c r="D69" s="264"/>
      <c r="E69" s="2559"/>
      <c r="F69" s="2551"/>
      <c r="G69" s="2551"/>
      <c r="H69" s="2551"/>
      <c r="I69" s="2551"/>
      <c r="J69" s="2551"/>
      <c r="K69" s="2551"/>
      <c r="L69" s="2551"/>
      <c r="M69" s="2551"/>
      <c r="N69" s="2551"/>
      <c r="O69" s="2551"/>
      <c r="P69" s="2551"/>
      <c r="Q69" s="2551"/>
      <c r="R69" s="2551"/>
      <c r="S69" s="2562"/>
      <c r="T69" s="2560"/>
      <c r="U69" s="2560"/>
      <c r="V69" s="2560"/>
      <c r="W69" s="2560"/>
      <c r="X69" s="2560"/>
      <c r="Y69" s="2560"/>
      <c r="Z69" s="2560"/>
      <c r="AA69" s="2560"/>
      <c r="AB69" s="2560"/>
      <c r="AC69" s="2560"/>
    </row>
    <row r="70" spans="1:29" ht="14.25" x14ac:dyDescent="0.3">
      <c r="A70" s="207"/>
      <c r="B70" s="294">
        <f t="shared" ref="B70:C81" si="23">B54</f>
        <v>0</v>
      </c>
      <c r="C70" s="295">
        <f t="shared" si="23"/>
        <v>0</v>
      </c>
      <c r="D70" s="2111"/>
      <c r="E70" s="239"/>
      <c r="F70" s="239"/>
      <c r="G70" s="239"/>
      <c r="H70" s="239"/>
      <c r="I70" s="239"/>
      <c r="J70" s="239"/>
      <c r="K70" s="239"/>
      <c r="L70" s="239"/>
      <c r="M70" s="239"/>
      <c r="N70" s="239"/>
      <c r="O70" s="239"/>
      <c r="P70" s="239"/>
      <c r="Q70" s="239"/>
      <c r="R70" s="239"/>
      <c r="S70" s="239"/>
      <c r="T70" s="2120"/>
      <c r="U70" s="15"/>
      <c r="V70" s="15"/>
      <c r="W70" s="15"/>
      <c r="X70" s="15"/>
      <c r="Y70" s="15"/>
      <c r="Z70" s="15"/>
      <c r="AA70" s="15"/>
      <c r="AB70" s="15"/>
      <c r="AC70" s="5"/>
    </row>
    <row r="71" spans="1:29" ht="14.25" x14ac:dyDescent="0.3">
      <c r="A71" s="207"/>
      <c r="B71" s="294">
        <f t="shared" si="23"/>
        <v>0</v>
      </c>
      <c r="C71" s="295">
        <f t="shared" si="23"/>
        <v>0</v>
      </c>
      <c r="D71" s="263"/>
      <c r="E71" s="242"/>
      <c r="F71" s="242"/>
      <c r="G71" s="242"/>
      <c r="H71" s="242"/>
      <c r="I71" s="242"/>
      <c r="J71" s="29"/>
      <c r="K71" s="29"/>
      <c r="L71" s="29"/>
      <c r="M71" s="29"/>
      <c r="N71" s="29"/>
      <c r="O71" s="29"/>
      <c r="P71" s="29"/>
      <c r="Q71" s="29"/>
      <c r="R71" s="29"/>
      <c r="S71" s="29"/>
      <c r="T71" s="2122"/>
      <c r="U71" s="5"/>
      <c r="V71" s="5"/>
      <c r="W71" s="5"/>
      <c r="X71" s="5"/>
      <c r="Y71" s="5"/>
      <c r="Z71" s="5"/>
      <c r="AA71" s="5"/>
      <c r="AB71" s="5"/>
      <c r="AC71" s="5"/>
    </row>
    <row r="72" spans="1:29" ht="14.25" x14ac:dyDescent="0.3">
      <c r="A72" s="207"/>
      <c r="B72" s="294">
        <f t="shared" si="23"/>
        <v>0</v>
      </c>
      <c r="C72" s="295">
        <f t="shared" si="23"/>
        <v>0</v>
      </c>
      <c r="D72" s="263"/>
      <c r="E72" s="242"/>
      <c r="F72" s="242"/>
      <c r="G72" s="242"/>
      <c r="H72" s="242"/>
      <c r="I72" s="242"/>
      <c r="J72" s="29"/>
      <c r="K72" s="29"/>
      <c r="L72" s="29"/>
      <c r="M72" s="29"/>
      <c r="N72" s="29"/>
      <c r="O72" s="29"/>
      <c r="P72" s="29"/>
      <c r="Q72" s="29"/>
      <c r="R72" s="29"/>
      <c r="S72" s="29"/>
      <c r="T72" s="2122"/>
      <c r="U72" s="5"/>
      <c r="V72" s="5"/>
      <c r="W72" s="5"/>
      <c r="X72" s="5"/>
      <c r="Y72" s="5"/>
      <c r="Z72" s="5"/>
      <c r="AA72" s="5"/>
      <c r="AB72" s="5"/>
      <c r="AC72" s="5"/>
    </row>
    <row r="73" spans="1:29" ht="14.25" x14ac:dyDescent="0.3">
      <c r="A73" s="207"/>
      <c r="B73" s="294">
        <f t="shared" si="23"/>
        <v>0</v>
      </c>
      <c r="C73" s="295">
        <f t="shared" si="23"/>
        <v>0</v>
      </c>
      <c r="D73" s="263"/>
      <c r="E73" s="242"/>
      <c r="F73" s="242"/>
      <c r="G73" s="242"/>
      <c r="H73" s="242"/>
      <c r="I73" s="242"/>
      <c r="J73" s="29"/>
      <c r="K73" s="29"/>
      <c r="L73" s="29"/>
      <c r="M73" s="29"/>
      <c r="N73" s="29"/>
      <c r="O73" s="29"/>
      <c r="P73" s="29"/>
      <c r="Q73" s="29"/>
      <c r="R73" s="29"/>
      <c r="S73" s="29"/>
      <c r="T73" s="2122"/>
      <c r="U73" s="5"/>
      <c r="V73" s="5"/>
      <c r="W73" s="5"/>
      <c r="X73" s="5"/>
      <c r="Y73" s="5"/>
      <c r="Z73" s="5"/>
      <c r="AA73" s="5"/>
      <c r="AB73" s="5"/>
      <c r="AC73" s="5"/>
    </row>
    <row r="74" spans="1:29" ht="14.25" x14ac:dyDescent="0.3">
      <c r="A74" s="207"/>
      <c r="B74" s="294">
        <f t="shared" si="23"/>
        <v>0</v>
      </c>
      <c r="C74" s="295">
        <f t="shared" si="23"/>
        <v>0</v>
      </c>
      <c r="D74" s="263"/>
      <c r="E74" s="242"/>
      <c r="F74" s="242"/>
      <c r="G74" s="242"/>
      <c r="H74" s="242"/>
      <c r="I74" s="242"/>
      <c r="J74" s="29"/>
      <c r="K74" s="29"/>
      <c r="L74" s="29"/>
      <c r="M74" s="29"/>
      <c r="N74" s="29"/>
      <c r="O74" s="29"/>
      <c r="P74" s="29"/>
      <c r="Q74" s="29"/>
      <c r="R74" s="29"/>
      <c r="S74" s="29"/>
      <c r="T74" s="2122"/>
      <c r="U74" s="5"/>
      <c r="V74" s="5"/>
      <c r="W74" s="5"/>
      <c r="X74" s="5"/>
      <c r="Y74" s="5"/>
      <c r="Z74" s="5"/>
      <c r="AA74" s="5"/>
      <c r="AB74" s="5"/>
      <c r="AC74" s="5"/>
    </row>
    <row r="75" spans="1:29" ht="14.25" x14ac:dyDescent="0.3">
      <c r="A75" s="207"/>
      <c r="B75" s="294">
        <f t="shared" si="23"/>
        <v>0</v>
      </c>
      <c r="C75" s="295">
        <f t="shared" si="23"/>
        <v>0</v>
      </c>
      <c r="D75" s="263"/>
      <c r="E75" s="242"/>
      <c r="F75" s="242"/>
      <c r="G75" s="242"/>
      <c r="H75" s="242"/>
      <c r="I75" s="242"/>
      <c r="J75" s="29"/>
      <c r="K75" s="29"/>
      <c r="L75" s="29"/>
      <c r="M75" s="29"/>
      <c r="N75" s="29"/>
      <c r="O75" s="29"/>
      <c r="P75" s="29"/>
      <c r="Q75" s="29"/>
      <c r="R75" s="29"/>
      <c r="S75" s="29"/>
      <c r="T75" s="2122"/>
      <c r="U75" s="5"/>
      <c r="V75" s="5"/>
      <c r="W75" s="5"/>
      <c r="X75" s="5"/>
      <c r="Y75" s="5"/>
      <c r="Z75" s="5"/>
      <c r="AA75" s="5"/>
      <c r="AB75" s="5"/>
      <c r="AC75" s="5"/>
    </row>
    <row r="76" spans="1:29" ht="14.25" x14ac:dyDescent="0.3">
      <c r="A76" s="207"/>
      <c r="B76" s="294">
        <f t="shared" si="23"/>
        <v>0</v>
      </c>
      <c r="C76" s="295">
        <f t="shared" si="23"/>
        <v>0</v>
      </c>
      <c r="D76" s="263"/>
      <c r="E76" s="242"/>
      <c r="F76" s="242"/>
      <c r="G76" s="242"/>
      <c r="H76" s="242"/>
      <c r="I76" s="242"/>
      <c r="J76" s="29"/>
      <c r="K76" s="29"/>
      <c r="L76" s="29"/>
      <c r="M76" s="29"/>
      <c r="N76" s="29"/>
      <c r="O76" s="29"/>
      <c r="P76" s="29"/>
      <c r="Q76" s="29"/>
      <c r="R76" s="29"/>
      <c r="S76" s="29"/>
      <c r="T76" s="2122"/>
      <c r="U76" s="5"/>
      <c r="V76" s="5"/>
      <c r="W76" s="5"/>
      <c r="X76" s="5"/>
      <c r="Y76" s="5"/>
      <c r="Z76" s="5"/>
      <c r="AA76" s="5"/>
      <c r="AB76" s="5"/>
      <c r="AC76" s="5"/>
    </row>
    <row r="77" spans="1:29" ht="14.25" x14ac:dyDescent="0.3">
      <c r="A77" s="207"/>
      <c r="B77" s="294">
        <f t="shared" si="23"/>
        <v>0</v>
      </c>
      <c r="C77" s="295">
        <f t="shared" si="23"/>
        <v>0</v>
      </c>
      <c r="D77" s="263"/>
      <c r="E77" s="242"/>
      <c r="F77" s="242"/>
      <c r="G77" s="242"/>
      <c r="H77" s="242"/>
      <c r="I77" s="242"/>
      <c r="J77" s="29"/>
      <c r="K77" s="29"/>
      <c r="L77" s="29"/>
      <c r="M77" s="29"/>
      <c r="N77" s="29"/>
      <c r="O77" s="29"/>
      <c r="P77" s="29"/>
      <c r="Q77" s="29"/>
      <c r="R77" s="29"/>
      <c r="S77" s="29"/>
      <c r="T77" s="2122"/>
      <c r="U77" s="5"/>
      <c r="V77" s="5"/>
      <c r="W77" s="5"/>
      <c r="X77" s="5"/>
      <c r="Y77" s="5"/>
      <c r="Z77" s="5"/>
      <c r="AA77" s="5"/>
      <c r="AB77" s="5"/>
      <c r="AC77" s="5"/>
    </row>
    <row r="78" spans="1:29" ht="14.25" x14ac:dyDescent="0.3">
      <c r="A78" s="207"/>
      <c r="B78" s="294">
        <f t="shared" si="23"/>
        <v>0</v>
      </c>
      <c r="C78" s="295">
        <f t="shared" si="23"/>
        <v>0</v>
      </c>
      <c r="D78" s="263"/>
      <c r="E78" s="242"/>
      <c r="F78" s="242"/>
      <c r="G78" s="242"/>
      <c r="H78" s="242"/>
      <c r="I78" s="242"/>
      <c r="J78" s="29"/>
      <c r="K78" s="29"/>
      <c r="L78" s="29"/>
      <c r="M78" s="29"/>
      <c r="N78" s="29"/>
      <c r="O78" s="29"/>
      <c r="P78" s="29"/>
      <c r="Q78" s="29"/>
      <c r="R78" s="29"/>
      <c r="S78" s="29"/>
      <c r="T78" s="2122"/>
      <c r="U78" s="5"/>
      <c r="V78" s="5"/>
      <c r="W78" s="5"/>
      <c r="X78" s="5"/>
      <c r="Y78" s="5"/>
      <c r="Z78" s="5"/>
      <c r="AA78" s="5"/>
      <c r="AB78" s="5"/>
      <c r="AC78" s="5"/>
    </row>
    <row r="79" spans="1:29" ht="14.25" x14ac:dyDescent="0.3">
      <c r="A79" s="207"/>
      <c r="B79" s="294">
        <f t="shared" si="23"/>
        <v>0</v>
      </c>
      <c r="C79" s="295">
        <f t="shared" si="23"/>
        <v>0</v>
      </c>
      <c r="D79" s="263"/>
      <c r="E79" s="242"/>
      <c r="F79" s="242"/>
      <c r="G79" s="242"/>
      <c r="H79" s="242"/>
      <c r="I79" s="242"/>
      <c r="J79" s="29"/>
      <c r="K79" s="29"/>
      <c r="L79" s="29"/>
      <c r="M79" s="29"/>
      <c r="N79" s="29"/>
      <c r="O79" s="29"/>
      <c r="P79" s="29"/>
      <c r="Q79" s="29"/>
      <c r="R79" s="29"/>
      <c r="S79" s="29"/>
      <c r="T79" s="2122"/>
      <c r="U79" s="5"/>
      <c r="V79" s="5"/>
      <c r="W79" s="5"/>
      <c r="X79" s="5"/>
      <c r="Y79" s="5"/>
      <c r="Z79" s="5"/>
      <c r="AA79" s="5"/>
      <c r="AB79" s="5"/>
      <c r="AC79" s="5"/>
    </row>
    <row r="80" spans="1:29" ht="14.25" x14ac:dyDescent="0.3">
      <c r="A80" s="207"/>
      <c r="B80" s="294">
        <f t="shared" si="23"/>
        <v>0</v>
      </c>
      <c r="C80" s="295">
        <f t="shared" si="23"/>
        <v>0</v>
      </c>
      <c r="D80" s="263"/>
      <c r="E80" s="242"/>
      <c r="F80" s="242"/>
      <c r="G80" s="242"/>
      <c r="H80" s="242"/>
      <c r="I80" s="242"/>
      <c r="J80" s="29"/>
      <c r="K80" s="29"/>
      <c r="L80" s="29"/>
      <c r="M80" s="29"/>
      <c r="N80" s="29"/>
      <c r="O80" s="29"/>
      <c r="P80" s="29"/>
      <c r="Q80" s="29"/>
      <c r="R80" s="29"/>
      <c r="S80" s="29"/>
      <c r="T80" s="2122"/>
      <c r="U80" s="5"/>
      <c r="V80" s="5"/>
      <c r="W80" s="5"/>
      <c r="X80" s="5"/>
      <c r="Y80" s="5"/>
      <c r="Z80" s="5"/>
      <c r="AA80" s="5"/>
      <c r="AB80" s="5"/>
      <c r="AC80" s="5"/>
    </row>
    <row r="81" spans="1:29" ht="15" thickBot="1" x14ac:dyDescent="0.35">
      <c r="A81" s="207"/>
      <c r="B81" s="296">
        <f t="shared" si="23"/>
        <v>0</v>
      </c>
      <c r="C81" s="297">
        <f t="shared" si="23"/>
        <v>0</v>
      </c>
      <c r="D81" s="2126"/>
      <c r="E81" s="242"/>
      <c r="F81" s="242"/>
      <c r="G81" s="242"/>
      <c r="H81" s="242"/>
      <c r="I81" s="242"/>
      <c r="J81" s="29"/>
      <c r="K81" s="29"/>
      <c r="L81" s="29"/>
      <c r="M81" s="29"/>
      <c r="N81" s="29"/>
      <c r="O81" s="29"/>
      <c r="P81" s="29"/>
      <c r="Q81" s="29"/>
      <c r="R81" s="29"/>
      <c r="S81" s="29"/>
      <c r="T81" s="2122"/>
      <c r="U81" s="5"/>
      <c r="V81" s="5"/>
      <c r="W81" s="5"/>
      <c r="X81" s="5"/>
      <c r="Y81" s="5"/>
      <c r="Z81" s="5"/>
      <c r="AA81" s="5"/>
      <c r="AB81" s="5"/>
      <c r="AC81" s="5"/>
    </row>
    <row r="82" spans="1:29" ht="14.25" x14ac:dyDescent="0.3">
      <c r="A82" s="207"/>
      <c r="B82" s="217"/>
      <c r="C82" s="218"/>
      <c r="D82" s="219"/>
      <c r="E82" s="2123"/>
      <c r="F82" s="2123"/>
      <c r="G82" s="2123"/>
      <c r="H82" s="2123"/>
      <c r="I82" s="2123"/>
      <c r="J82" s="2123"/>
      <c r="K82" s="2123"/>
      <c r="L82" s="2123"/>
      <c r="M82" s="2123"/>
      <c r="N82" s="2123"/>
      <c r="O82" s="2123"/>
      <c r="P82" s="2123"/>
      <c r="Q82" s="2123"/>
      <c r="R82" s="2123"/>
      <c r="S82" s="2123"/>
      <c r="T82" s="8"/>
      <c r="U82" s="8"/>
      <c r="V82" s="8"/>
      <c r="W82" s="8"/>
      <c r="X82" s="8"/>
      <c r="Y82" s="8"/>
      <c r="Z82" s="8"/>
      <c r="AA82" s="8"/>
      <c r="AB82" s="8"/>
      <c r="AC82" s="8"/>
    </row>
    <row r="83" spans="1:29" ht="14.25" thickBot="1" x14ac:dyDescent="0.35">
      <c r="A83" s="207"/>
      <c r="B83" s="217"/>
      <c r="C83" s="207"/>
      <c r="D83" s="208"/>
      <c r="E83" s="208"/>
      <c r="F83" s="208"/>
      <c r="G83" s="208"/>
      <c r="H83" s="208"/>
      <c r="I83" s="208"/>
      <c r="J83" s="208"/>
      <c r="K83" s="208"/>
      <c r="L83" s="208"/>
      <c r="M83" s="208"/>
      <c r="N83" s="208"/>
      <c r="O83" s="208"/>
      <c r="P83" s="208"/>
      <c r="Q83" s="208"/>
      <c r="R83" s="208"/>
      <c r="S83" s="208"/>
      <c r="T83" s="5"/>
      <c r="U83" s="5"/>
      <c r="V83" s="5"/>
      <c r="W83" s="5"/>
      <c r="X83" s="5"/>
      <c r="Y83" s="5"/>
      <c r="Z83" s="5"/>
      <c r="AA83" s="5"/>
      <c r="AB83" s="5"/>
      <c r="AC83" s="5"/>
    </row>
    <row r="84" spans="1:29" ht="14.25" x14ac:dyDescent="0.3">
      <c r="A84" s="207"/>
      <c r="B84" s="291" t="s">
        <v>163</v>
      </c>
      <c r="C84" s="269" t="str">
        <f>C68</f>
        <v>Celkové výkony</v>
      </c>
      <c r="D84" s="270"/>
      <c r="E84" s="2544">
        <f>E52</f>
        <v>2021</v>
      </c>
      <c r="F84" s="2544">
        <f t="shared" ref="F84:S84" si="24">E84+1</f>
        <v>2022</v>
      </c>
      <c r="G84" s="2544">
        <f t="shared" si="24"/>
        <v>2023</v>
      </c>
      <c r="H84" s="2544">
        <f t="shared" si="24"/>
        <v>2024</v>
      </c>
      <c r="I84" s="2544">
        <f t="shared" si="24"/>
        <v>2025</v>
      </c>
      <c r="J84" s="2544">
        <f t="shared" si="24"/>
        <v>2026</v>
      </c>
      <c r="K84" s="2544">
        <f t="shared" si="24"/>
        <v>2027</v>
      </c>
      <c r="L84" s="2544">
        <f t="shared" si="24"/>
        <v>2028</v>
      </c>
      <c r="M84" s="2544">
        <f t="shared" si="24"/>
        <v>2029</v>
      </c>
      <c r="N84" s="2544">
        <f t="shared" si="24"/>
        <v>2030</v>
      </c>
      <c r="O84" s="2544">
        <f t="shared" si="24"/>
        <v>2031</v>
      </c>
      <c r="P84" s="2544">
        <f t="shared" si="24"/>
        <v>2032</v>
      </c>
      <c r="Q84" s="2544">
        <f t="shared" si="24"/>
        <v>2033</v>
      </c>
      <c r="R84" s="2544">
        <f t="shared" si="24"/>
        <v>2034</v>
      </c>
      <c r="S84" s="2546">
        <f t="shared" si="24"/>
        <v>2035</v>
      </c>
      <c r="T84" s="2560"/>
      <c r="U84" s="2560"/>
      <c r="V84" s="2560"/>
      <c r="W84" s="2560"/>
      <c r="X84" s="2560"/>
      <c r="Y84" s="2560"/>
      <c r="Z84" s="2560"/>
      <c r="AA84" s="2560"/>
      <c r="AB84" s="2560"/>
      <c r="AC84" s="2560"/>
    </row>
    <row r="85" spans="1:29" ht="15" thickBot="1" x14ac:dyDescent="0.35">
      <c r="A85" s="25"/>
      <c r="B85" s="2119" t="s">
        <v>23</v>
      </c>
      <c r="C85" s="271" t="str">
        <f>C25</f>
        <v>Scénář bez projektu</v>
      </c>
      <c r="D85" s="292" t="str">
        <f>D53</f>
        <v>Celkem</v>
      </c>
      <c r="E85" s="2545"/>
      <c r="F85" s="2545"/>
      <c r="G85" s="2545"/>
      <c r="H85" s="2545"/>
      <c r="I85" s="2545"/>
      <c r="J85" s="2545"/>
      <c r="K85" s="2545"/>
      <c r="L85" s="2545"/>
      <c r="M85" s="2545"/>
      <c r="N85" s="2545"/>
      <c r="O85" s="2545"/>
      <c r="P85" s="2545"/>
      <c r="Q85" s="2545"/>
      <c r="R85" s="2545"/>
      <c r="S85" s="2547"/>
      <c r="T85" s="2560"/>
      <c r="U85" s="2560"/>
      <c r="V85" s="2560"/>
      <c r="W85" s="2560"/>
      <c r="X85" s="2560"/>
      <c r="Y85" s="2560"/>
      <c r="Z85" s="2560"/>
      <c r="AA85" s="2560"/>
      <c r="AB85" s="2560"/>
      <c r="AC85" s="2560"/>
    </row>
    <row r="86" spans="1:29" ht="14.25" x14ac:dyDescent="0.3">
      <c r="A86" s="990"/>
      <c r="B86" s="2118"/>
      <c r="C86" s="256"/>
      <c r="D86" s="376">
        <f>SUM(E86:S86,E102:S102)</f>
        <v>0</v>
      </c>
      <c r="E86" s="239"/>
      <c r="F86" s="239"/>
      <c r="G86" s="239"/>
      <c r="H86" s="239"/>
      <c r="I86" s="239"/>
      <c r="J86" s="239"/>
      <c r="K86" s="239"/>
      <c r="L86" s="239"/>
      <c r="M86" s="239"/>
      <c r="N86" s="239"/>
      <c r="O86" s="239"/>
      <c r="P86" s="239"/>
      <c r="Q86" s="239"/>
      <c r="R86" s="239"/>
      <c r="S86" s="239"/>
      <c r="T86" s="2120"/>
      <c r="U86" s="15"/>
      <c r="V86" s="15"/>
      <c r="W86" s="15"/>
      <c r="X86" s="15"/>
      <c r="Y86" s="15"/>
      <c r="Z86" s="15"/>
      <c r="AA86" s="15"/>
      <c r="AB86" s="15"/>
      <c r="AC86" s="5"/>
    </row>
    <row r="87" spans="1:29" ht="14.25" x14ac:dyDescent="0.3">
      <c r="A87" s="990"/>
      <c r="B87" s="2118"/>
      <c r="C87" s="256"/>
      <c r="D87" s="375">
        <f t="shared" ref="D87:D97" si="25">SUM(E87:S87,E103:S103)</f>
        <v>0</v>
      </c>
      <c r="E87" s="239"/>
      <c r="F87" s="239"/>
      <c r="G87" s="239"/>
      <c r="H87" s="239"/>
      <c r="I87" s="239"/>
      <c r="J87" s="239"/>
      <c r="K87" s="239"/>
      <c r="L87" s="239"/>
      <c r="M87" s="239"/>
      <c r="N87" s="239"/>
      <c r="O87" s="239"/>
      <c r="P87" s="239"/>
      <c r="Q87" s="239"/>
      <c r="R87" s="239"/>
      <c r="S87" s="239"/>
      <c r="T87" s="2120"/>
      <c r="U87" s="15"/>
      <c r="V87" s="15"/>
      <c r="W87" s="15"/>
      <c r="X87" s="15"/>
      <c r="Y87" s="15"/>
      <c r="Z87" s="15"/>
      <c r="AA87" s="15"/>
      <c r="AB87" s="15"/>
      <c r="AC87" s="5"/>
    </row>
    <row r="88" spans="1:29" ht="14.25" x14ac:dyDescent="0.3">
      <c r="A88" s="990"/>
      <c r="B88" s="2118"/>
      <c r="C88" s="256"/>
      <c r="D88" s="375">
        <f t="shared" si="25"/>
        <v>0</v>
      </c>
      <c r="E88" s="239"/>
      <c r="F88" s="239"/>
      <c r="G88" s="239"/>
      <c r="H88" s="239"/>
      <c r="I88" s="239"/>
      <c r="J88" s="239"/>
      <c r="K88" s="239"/>
      <c r="L88" s="239"/>
      <c r="M88" s="239"/>
      <c r="N88" s="239"/>
      <c r="O88" s="239"/>
      <c r="P88" s="239"/>
      <c r="Q88" s="239"/>
      <c r="R88" s="239"/>
      <c r="S88" s="239"/>
      <c r="T88" s="2120"/>
      <c r="U88" s="15"/>
      <c r="V88" s="15"/>
      <c r="W88" s="15"/>
      <c r="X88" s="15"/>
      <c r="Y88" s="15"/>
      <c r="Z88" s="15"/>
      <c r="AA88" s="15"/>
      <c r="AB88" s="15"/>
      <c r="AC88" s="5"/>
    </row>
    <row r="89" spans="1:29" ht="14.25" x14ac:dyDescent="0.3">
      <c r="A89" s="990"/>
      <c r="B89" s="2118"/>
      <c r="C89" s="256"/>
      <c r="D89" s="375">
        <f t="shared" si="25"/>
        <v>0</v>
      </c>
      <c r="E89" s="239"/>
      <c r="F89" s="239"/>
      <c r="G89" s="239"/>
      <c r="H89" s="239"/>
      <c r="I89" s="239"/>
      <c r="J89" s="239"/>
      <c r="K89" s="239"/>
      <c r="L89" s="239"/>
      <c r="M89" s="239"/>
      <c r="N89" s="239"/>
      <c r="O89" s="239"/>
      <c r="P89" s="239"/>
      <c r="Q89" s="239"/>
      <c r="R89" s="239"/>
      <c r="S89" s="239"/>
      <c r="T89" s="2120"/>
      <c r="U89" s="15"/>
      <c r="V89" s="15"/>
      <c r="W89" s="15"/>
      <c r="X89" s="15"/>
      <c r="Y89" s="15"/>
      <c r="Z89" s="15"/>
      <c r="AA89" s="15"/>
      <c r="AB89" s="15"/>
      <c r="AC89" s="5"/>
    </row>
    <row r="90" spans="1:29" ht="14.25" x14ac:dyDescent="0.3">
      <c r="A90" s="990"/>
      <c r="B90" s="2118"/>
      <c r="C90" s="256"/>
      <c r="D90" s="375">
        <f t="shared" si="25"/>
        <v>0</v>
      </c>
      <c r="E90" s="239"/>
      <c r="F90" s="239"/>
      <c r="G90" s="239"/>
      <c r="H90" s="239"/>
      <c r="I90" s="239"/>
      <c r="J90" s="239"/>
      <c r="K90" s="239"/>
      <c r="L90" s="239"/>
      <c r="M90" s="239"/>
      <c r="N90" s="239"/>
      <c r="O90" s="239"/>
      <c r="P90" s="239"/>
      <c r="Q90" s="239"/>
      <c r="R90" s="239"/>
      <c r="S90" s="239"/>
      <c r="T90" s="2120"/>
      <c r="U90" s="15"/>
      <c r="V90" s="15"/>
      <c r="W90" s="15"/>
      <c r="X90" s="15"/>
      <c r="Y90" s="15"/>
      <c r="Z90" s="15"/>
      <c r="AA90" s="15"/>
      <c r="AB90" s="15"/>
      <c r="AC90" s="5"/>
    </row>
    <row r="91" spans="1:29" ht="14.25" x14ac:dyDescent="0.3">
      <c r="A91" s="990"/>
      <c r="B91" s="2118"/>
      <c r="C91" s="256"/>
      <c r="D91" s="375">
        <f t="shared" si="25"/>
        <v>0</v>
      </c>
      <c r="E91" s="239"/>
      <c r="F91" s="239"/>
      <c r="G91" s="239"/>
      <c r="H91" s="239"/>
      <c r="I91" s="239"/>
      <c r="J91" s="239"/>
      <c r="K91" s="239"/>
      <c r="L91" s="239"/>
      <c r="M91" s="239"/>
      <c r="N91" s="239"/>
      <c r="O91" s="239"/>
      <c r="P91" s="239"/>
      <c r="Q91" s="239"/>
      <c r="R91" s="239"/>
      <c r="S91" s="239"/>
      <c r="T91" s="2120"/>
      <c r="U91" s="15"/>
      <c r="V91" s="15"/>
      <c r="W91" s="15"/>
      <c r="X91" s="15"/>
      <c r="Y91" s="15"/>
      <c r="Z91" s="15"/>
      <c r="AA91" s="15"/>
      <c r="AB91" s="15"/>
      <c r="AC91" s="5"/>
    </row>
    <row r="92" spans="1:29" ht="14.25" x14ac:dyDescent="0.3">
      <c r="A92" s="990"/>
      <c r="B92" s="2118"/>
      <c r="C92" s="256"/>
      <c r="D92" s="375">
        <f t="shared" si="25"/>
        <v>0</v>
      </c>
      <c r="E92" s="239"/>
      <c r="F92" s="239"/>
      <c r="G92" s="239"/>
      <c r="H92" s="239"/>
      <c r="I92" s="239"/>
      <c r="J92" s="239"/>
      <c r="K92" s="239"/>
      <c r="L92" s="239"/>
      <c r="M92" s="239"/>
      <c r="N92" s="239"/>
      <c r="O92" s="239"/>
      <c r="P92" s="239"/>
      <c r="Q92" s="239"/>
      <c r="R92" s="239"/>
      <c r="S92" s="239"/>
      <c r="T92" s="2120"/>
      <c r="U92" s="15"/>
      <c r="V92" s="15"/>
      <c r="W92" s="15"/>
      <c r="X92" s="15"/>
      <c r="Y92" s="15"/>
      <c r="Z92" s="15"/>
      <c r="AA92" s="15"/>
      <c r="AB92" s="15"/>
      <c r="AC92" s="5"/>
    </row>
    <row r="93" spans="1:29" ht="14.25" x14ac:dyDescent="0.3">
      <c r="A93" s="990"/>
      <c r="B93" s="2118"/>
      <c r="C93" s="256"/>
      <c r="D93" s="375">
        <f t="shared" si="25"/>
        <v>0</v>
      </c>
      <c r="E93" s="239"/>
      <c r="F93" s="239"/>
      <c r="G93" s="239"/>
      <c r="H93" s="239"/>
      <c r="I93" s="239"/>
      <c r="J93" s="239"/>
      <c r="K93" s="239"/>
      <c r="L93" s="239"/>
      <c r="M93" s="239"/>
      <c r="N93" s="239"/>
      <c r="O93" s="239"/>
      <c r="P93" s="239"/>
      <c r="Q93" s="239"/>
      <c r="R93" s="239"/>
      <c r="S93" s="239"/>
      <c r="T93" s="2120"/>
      <c r="U93" s="15"/>
      <c r="V93" s="15"/>
      <c r="W93" s="15"/>
      <c r="X93" s="15"/>
      <c r="Y93" s="15"/>
      <c r="Z93" s="15"/>
      <c r="AA93" s="15"/>
      <c r="AB93" s="15"/>
      <c r="AC93" s="5"/>
    </row>
    <row r="94" spans="1:29" ht="14.25" x14ac:dyDescent="0.3">
      <c r="A94" s="990"/>
      <c r="B94" s="2118"/>
      <c r="C94" s="256"/>
      <c r="D94" s="375">
        <f t="shared" si="25"/>
        <v>0</v>
      </c>
      <c r="E94" s="239"/>
      <c r="F94" s="239"/>
      <c r="G94" s="239"/>
      <c r="H94" s="239"/>
      <c r="I94" s="239"/>
      <c r="J94" s="239"/>
      <c r="K94" s="239"/>
      <c r="L94" s="239"/>
      <c r="M94" s="239"/>
      <c r="N94" s="239"/>
      <c r="O94" s="239"/>
      <c r="P94" s="239"/>
      <c r="Q94" s="239"/>
      <c r="R94" s="239"/>
      <c r="S94" s="239"/>
      <c r="T94" s="2120"/>
      <c r="U94" s="15"/>
      <c r="V94" s="15"/>
      <c r="W94" s="15"/>
      <c r="X94" s="15"/>
      <c r="Y94" s="15"/>
      <c r="Z94" s="15"/>
      <c r="AA94" s="15"/>
      <c r="AB94" s="15"/>
      <c r="AC94" s="5"/>
    </row>
    <row r="95" spans="1:29" ht="14.25" x14ac:dyDescent="0.3">
      <c r="A95" s="990"/>
      <c r="B95" s="2118"/>
      <c r="C95" s="256"/>
      <c r="D95" s="375">
        <f t="shared" si="25"/>
        <v>0</v>
      </c>
      <c r="E95" s="239"/>
      <c r="F95" s="239"/>
      <c r="G95" s="239"/>
      <c r="H95" s="239"/>
      <c r="I95" s="239"/>
      <c r="J95" s="239"/>
      <c r="K95" s="239"/>
      <c r="L95" s="239"/>
      <c r="M95" s="239"/>
      <c r="N95" s="239"/>
      <c r="O95" s="239"/>
      <c r="P95" s="239"/>
      <c r="Q95" s="239"/>
      <c r="R95" s="239"/>
      <c r="S95" s="239"/>
      <c r="T95" s="2120"/>
      <c r="U95" s="15"/>
      <c r="V95" s="15"/>
      <c r="W95" s="15"/>
      <c r="X95" s="15"/>
      <c r="Y95" s="15"/>
      <c r="Z95" s="15"/>
      <c r="AA95" s="15"/>
      <c r="AB95" s="15"/>
      <c r="AC95" s="5"/>
    </row>
    <row r="96" spans="1:29" ht="14.25" x14ac:dyDescent="0.3">
      <c r="A96" s="990"/>
      <c r="B96" s="2118"/>
      <c r="C96" s="256"/>
      <c r="D96" s="375">
        <f t="shared" si="25"/>
        <v>0</v>
      </c>
      <c r="E96" s="239"/>
      <c r="F96" s="239"/>
      <c r="G96" s="239"/>
      <c r="H96" s="241"/>
      <c r="I96" s="239"/>
      <c r="J96" s="239"/>
      <c r="K96" s="239"/>
      <c r="L96" s="239"/>
      <c r="M96" s="239"/>
      <c r="N96" s="239"/>
      <c r="O96" s="239"/>
      <c r="P96" s="239"/>
      <c r="Q96" s="239"/>
      <c r="R96" s="239"/>
      <c r="S96" s="239"/>
      <c r="T96" s="2120"/>
      <c r="U96" s="15"/>
      <c r="V96" s="15"/>
      <c r="W96" s="15"/>
      <c r="X96" s="15"/>
      <c r="Y96" s="15"/>
      <c r="Z96" s="15"/>
      <c r="AA96" s="15"/>
      <c r="AB96" s="15"/>
      <c r="AC96" s="5"/>
    </row>
    <row r="97" spans="1:29" ht="15" thickBot="1" x14ac:dyDescent="0.35">
      <c r="A97" s="990"/>
      <c r="B97" s="2117"/>
      <c r="C97" s="256"/>
      <c r="D97" s="377">
        <f t="shared" si="25"/>
        <v>0</v>
      </c>
      <c r="E97" s="241"/>
      <c r="F97" s="241"/>
      <c r="G97" s="241"/>
      <c r="H97" s="241"/>
      <c r="I97" s="241"/>
      <c r="J97" s="241"/>
      <c r="K97" s="241"/>
      <c r="L97" s="241"/>
      <c r="M97" s="241"/>
      <c r="N97" s="241"/>
      <c r="O97" s="241"/>
      <c r="P97" s="241"/>
      <c r="Q97" s="241"/>
      <c r="R97" s="241"/>
      <c r="S97" s="241"/>
      <c r="T97" s="2121"/>
      <c r="U97" s="17"/>
      <c r="V97" s="17"/>
      <c r="W97" s="17"/>
      <c r="X97" s="17"/>
      <c r="Y97" s="17"/>
      <c r="Z97" s="17"/>
      <c r="AA97" s="17"/>
      <c r="AB97" s="17"/>
      <c r="AC97" s="5"/>
    </row>
    <row r="98" spans="1:29" ht="13.5" x14ac:dyDescent="0.3">
      <c r="A98" s="25"/>
      <c r="B98" s="2128"/>
      <c r="C98" s="2129"/>
      <c r="D98" s="214"/>
      <c r="E98" s="2124"/>
      <c r="F98" s="2124"/>
      <c r="G98" s="2124"/>
      <c r="H98" s="2124"/>
      <c r="I98" s="2124"/>
      <c r="J98" s="2124"/>
      <c r="K98" s="2124"/>
      <c r="L98" s="2124"/>
      <c r="M98" s="2124"/>
      <c r="N98" s="2124"/>
      <c r="O98" s="2124"/>
      <c r="P98" s="2124"/>
      <c r="Q98" s="2124"/>
      <c r="R98" s="2124"/>
      <c r="S98" s="2124"/>
      <c r="T98" s="5"/>
      <c r="U98" s="5"/>
      <c r="V98" s="5"/>
      <c r="W98" s="5"/>
      <c r="X98" s="5"/>
      <c r="Y98" s="5"/>
      <c r="Z98" s="5"/>
      <c r="AA98" s="5"/>
      <c r="AB98" s="5"/>
      <c r="AC98" s="5"/>
    </row>
    <row r="99" spans="1:29" ht="14.25" thickBot="1" x14ac:dyDescent="0.35">
      <c r="A99" s="25"/>
      <c r="B99" s="213"/>
      <c r="C99" s="207"/>
      <c r="D99" s="214"/>
      <c r="E99" s="215"/>
      <c r="F99" s="215"/>
      <c r="G99" s="215"/>
      <c r="H99" s="215"/>
      <c r="I99" s="215"/>
      <c r="J99" s="215"/>
      <c r="K99" s="215"/>
      <c r="L99" s="215"/>
      <c r="M99" s="215"/>
      <c r="N99" s="215"/>
      <c r="O99" s="215"/>
      <c r="P99" s="215"/>
      <c r="Q99" s="215"/>
      <c r="R99" s="215"/>
      <c r="S99" s="215"/>
      <c r="T99" s="5"/>
      <c r="U99" s="5"/>
      <c r="V99" s="5"/>
      <c r="W99" s="5"/>
      <c r="X99" s="5"/>
      <c r="Y99" s="5"/>
      <c r="Z99" s="5"/>
      <c r="AA99" s="5"/>
      <c r="AB99" s="5"/>
      <c r="AC99" s="5"/>
    </row>
    <row r="100" spans="1:29" ht="14.25" x14ac:dyDescent="0.3">
      <c r="A100" s="25"/>
      <c r="B100" s="293" t="str">
        <f>B84</f>
        <v>8.5.</v>
      </c>
      <c r="C100" s="269" t="str">
        <f>C84</f>
        <v>Celkové výkony</v>
      </c>
      <c r="D100" s="270"/>
      <c r="E100" s="2548">
        <f>S84+1</f>
        <v>2036</v>
      </c>
      <c r="F100" s="2544">
        <f t="shared" ref="F100:S100" si="26">E100+1</f>
        <v>2037</v>
      </c>
      <c r="G100" s="2544">
        <f t="shared" si="26"/>
        <v>2038</v>
      </c>
      <c r="H100" s="2544">
        <f t="shared" si="26"/>
        <v>2039</v>
      </c>
      <c r="I100" s="2544">
        <f t="shared" si="26"/>
        <v>2040</v>
      </c>
      <c r="J100" s="2544">
        <f t="shared" si="26"/>
        <v>2041</v>
      </c>
      <c r="K100" s="2544">
        <f t="shared" si="26"/>
        <v>2042</v>
      </c>
      <c r="L100" s="2544">
        <f t="shared" si="26"/>
        <v>2043</v>
      </c>
      <c r="M100" s="2544">
        <f t="shared" si="26"/>
        <v>2044</v>
      </c>
      <c r="N100" s="2544">
        <f t="shared" si="26"/>
        <v>2045</v>
      </c>
      <c r="O100" s="2544">
        <f t="shared" si="26"/>
        <v>2046</v>
      </c>
      <c r="P100" s="2544">
        <f t="shared" si="26"/>
        <v>2047</v>
      </c>
      <c r="Q100" s="2544">
        <f t="shared" si="26"/>
        <v>2048</v>
      </c>
      <c r="R100" s="2544">
        <f t="shared" si="26"/>
        <v>2049</v>
      </c>
      <c r="S100" s="2546">
        <f t="shared" si="26"/>
        <v>2050</v>
      </c>
      <c r="T100" s="2560"/>
      <c r="U100" s="2560"/>
      <c r="V100" s="2560"/>
      <c r="W100" s="2560"/>
      <c r="X100" s="2560"/>
      <c r="Y100" s="2560"/>
      <c r="Z100" s="2560"/>
      <c r="AA100" s="2560"/>
      <c r="AB100" s="2560"/>
      <c r="AC100" s="2560"/>
    </row>
    <row r="101" spans="1:29" ht="15" thickBot="1" x14ac:dyDescent="0.35">
      <c r="A101" s="25"/>
      <c r="B101" s="266" t="s">
        <v>24</v>
      </c>
      <c r="C101" s="271" t="str">
        <f>C85</f>
        <v>Scénář bez projektu</v>
      </c>
      <c r="D101" s="272"/>
      <c r="E101" s="2549"/>
      <c r="F101" s="2545"/>
      <c r="G101" s="2545"/>
      <c r="H101" s="2545"/>
      <c r="I101" s="2545"/>
      <c r="J101" s="2545"/>
      <c r="K101" s="2545"/>
      <c r="L101" s="2545"/>
      <c r="M101" s="2545"/>
      <c r="N101" s="2545"/>
      <c r="O101" s="2545"/>
      <c r="P101" s="2545"/>
      <c r="Q101" s="2545"/>
      <c r="R101" s="2545"/>
      <c r="S101" s="2547"/>
      <c r="T101" s="2560"/>
      <c r="U101" s="2560"/>
      <c r="V101" s="2560"/>
      <c r="W101" s="2560"/>
      <c r="X101" s="2560"/>
      <c r="Y101" s="2560"/>
      <c r="Z101" s="2560"/>
      <c r="AA101" s="2560"/>
      <c r="AB101" s="2560"/>
      <c r="AC101" s="2560"/>
    </row>
    <row r="102" spans="1:29" ht="14.25" x14ac:dyDescent="0.3">
      <c r="A102" s="25"/>
      <c r="B102" s="294">
        <f t="shared" ref="B102:C113" si="27">B86</f>
        <v>0</v>
      </c>
      <c r="C102" s="295">
        <f t="shared" si="27"/>
        <v>0</v>
      </c>
      <c r="D102" s="2111"/>
      <c r="E102" s="239"/>
      <c r="F102" s="239"/>
      <c r="G102" s="239"/>
      <c r="H102" s="239"/>
      <c r="I102" s="239"/>
      <c r="J102" s="239"/>
      <c r="K102" s="239"/>
      <c r="L102" s="239"/>
      <c r="M102" s="239"/>
      <c r="N102" s="239"/>
      <c r="O102" s="239"/>
      <c r="P102" s="239"/>
      <c r="Q102" s="239"/>
      <c r="R102" s="239"/>
      <c r="S102" s="239"/>
      <c r="T102" s="2120"/>
      <c r="U102" s="15"/>
      <c r="V102" s="15"/>
      <c r="W102" s="15"/>
      <c r="X102" s="15"/>
      <c r="Y102" s="15"/>
      <c r="Z102" s="15"/>
      <c r="AA102" s="15"/>
      <c r="AB102" s="15"/>
      <c r="AC102" s="5"/>
    </row>
    <row r="103" spans="1:29" ht="14.25" x14ac:dyDescent="0.3">
      <c r="A103" s="25"/>
      <c r="B103" s="294">
        <f t="shared" si="27"/>
        <v>0</v>
      </c>
      <c r="C103" s="295">
        <f t="shared" si="27"/>
        <v>0</v>
      </c>
      <c r="D103" s="263"/>
      <c r="E103" s="242"/>
      <c r="F103" s="242"/>
      <c r="G103" s="242"/>
      <c r="H103" s="242"/>
      <c r="I103" s="242"/>
      <c r="J103" s="29"/>
      <c r="K103" s="29"/>
      <c r="L103" s="29"/>
      <c r="M103" s="29"/>
      <c r="N103" s="29"/>
      <c r="O103" s="29"/>
      <c r="P103" s="29"/>
      <c r="Q103" s="29"/>
      <c r="R103" s="29"/>
      <c r="S103" s="29"/>
      <c r="T103" s="2122"/>
      <c r="U103" s="5"/>
      <c r="V103" s="5"/>
      <c r="W103" s="5"/>
      <c r="X103" s="5"/>
      <c r="Y103" s="5"/>
      <c r="Z103" s="5"/>
      <c r="AA103" s="5"/>
      <c r="AB103" s="5"/>
      <c r="AC103" s="5"/>
    </row>
    <row r="104" spans="1:29" ht="14.25" x14ac:dyDescent="0.3">
      <c r="A104" s="25"/>
      <c r="B104" s="294">
        <f t="shared" si="27"/>
        <v>0</v>
      </c>
      <c r="C104" s="295">
        <f t="shared" si="27"/>
        <v>0</v>
      </c>
      <c r="D104" s="263"/>
      <c r="E104" s="242"/>
      <c r="F104" s="242"/>
      <c r="G104" s="242"/>
      <c r="H104" s="242"/>
      <c r="I104" s="242"/>
      <c r="J104" s="29"/>
      <c r="K104" s="29"/>
      <c r="L104" s="29"/>
      <c r="M104" s="29"/>
      <c r="N104" s="29"/>
      <c r="O104" s="29"/>
      <c r="P104" s="29"/>
      <c r="Q104" s="29"/>
      <c r="R104" s="29"/>
      <c r="S104" s="29"/>
      <c r="T104" s="2122"/>
      <c r="U104" s="5"/>
      <c r="V104" s="5"/>
      <c r="W104" s="5"/>
      <c r="X104" s="5"/>
      <c r="Y104" s="5"/>
      <c r="Z104" s="5"/>
      <c r="AA104" s="5"/>
      <c r="AB104" s="5"/>
      <c r="AC104" s="5"/>
    </row>
    <row r="105" spans="1:29" ht="14.25" x14ac:dyDescent="0.3">
      <c r="A105" s="25"/>
      <c r="B105" s="294">
        <f t="shared" si="27"/>
        <v>0</v>
      </c>
      <c r="C105" s="295">
        <f t="shared" si="27"/>
        <v>0</v>
      </c>
      <c r="D105" s="263"/>
      <c r="E105" s="242"/>
      <c r="F105" s="242"/>
      <c r="G105" s="242"/>
      <c r="H105" s="242"/>
      <c r="I105" s="242"/>
      <c r="J105" s="29"/>
      <c r="K105" s="29"/>
      <c r="L105" s="29"/>
      <c r="M105" s="29"/>
      <c r="N105" s="29"/>
      <c r="O105" s="29"/>
      <c r="P105" s="29"/>
      <c r="Q105" s="29"/>
      <c r="R105" s="29"/>
      <c r="S105" s="29"/>
      <c r="T105" s="2122"/>
      <c r="U105" s="5"/>
      <c r="V105" s="5"/>
      <c r="W105" s="5"/>
      <c r="X105" s="5"/>
      <c r="Y105" s="5"/>
      <c r="Z105" s="5"/>
      <c r="AA105" s="5"/>
      <c r="AB105" s="5"/>
      <c r="AC105" s="5"/>
    </row>
    <row r="106" spans="1:29" ht="14.25" x14ac:dyDescent="0.3">
      <c r="A106" s="25"/>
      <c r="B106" s="294">
        <f t="shared" si="27"/>
        <v>0</v>
      </c>
      <c r="C106" s="295">
        <f t="shared" si="27"/>
        <v>0</v>
      </c>
      <c r="D106" s="263"/>
      <c r="E106" s="242"/>
      <c r="F106" s="242"/>
      <c r="G106" s="242"/>
      <c r="H106" s="242"/>
      <c r="I106" s="242"/>
      <c r="J106" s="29"/>
      <c r="K106" s="29"/>
      <c r="L106" s="29"/>
      <c r="M106" s="29"/>
      <c r="N106" s="29"/>
      <c r="O106" s="29"/>
      <c r="P106" s="29"/>
      <c r="Q106" s="29"/>
      <c r="R106" s="29"/>
      <c r="S106" s="29"/>
      <c r="T106" s="2122"/>
      <c r="U106" s="5"/>
      <c r="V106" s="5"/>
      <c r="W106" s="5"/>
      <c r="X106" s="5"/>
      <c r="Y106" s="5"/>
      <c r="Z106" s="5"/>
      <c r="AA106" s="5"/>
      <c r="AB106" s="5"/>
      <c r="AC106" s="5"/>
    </row>
    <row r="107" spans="1:29" ht="14.25" x14ac:dyDescent="0.3">
      <c r="A107" s="25"/>
      <c r="B107" s="294">
        <f t="shared" si="27"/>
        <v>0</v>
      </c>
      <c r="C107" s="295">
        <f t="shared" si="27"/>
        <v>0</v>
      </c>
      <c r="D107" s="263"/>
      <c r="E107" s="242"/>
      <c r="F107" s="242"/>
      <c r="G107" s="242"/>
      <c r="H107" s="242"/>
      <c r="I107" s="242"/>
      <c r="J107" s="29"/>
      <c r="K107" s="29"/>
      <c r="L107" s="29"/>
      <c r="M107" s="29"/>
      <c r="N107" s="29"/>
      <c r="O107" s="29"/>
      <c r="P107" s="29"/>
      <c r="Q107" s="29"/>
      <c r="R107" s="29"/>
      <c r="S107" s="29"/>
      <c r="T107" s="2122"/>
      <c r="U107" s="5"/>
      <c r="V107" s="5"/>
      <c r="W107" s="5"/>
      <c r="X107" s="5"/>
      <c r="Y107" s="5"/>
      <c r="Z107" s="5"/>
      <c r="AA107" s="5"/>
      <c r="AB107" s="5"/>
      <c r="AC107" s="5"/>
    </row>
    <row r="108" spans="1:29" ht="14.25" x14ac:dyDescent="0.3">
      <c r="A108" s="25"/>
      <c r="B108" s="294">
        <f t="shared" si="27"/>
        <v>0</v>
      </c>
      <c r="C108" s="295">
        <f t="shared" si="27"/>
        <v>0</v>
      </c>
      <c r="D108" s="263"/>
      <c r="E108" s="242"/>
      <c r="F108" s="242"/>
      <c r="G108" s="242"/>
      <c r="H108" s="242"/>
      <c r="I108" s="242"/>
      <c r="J108" s="29"/>
      <c r="K108" s="29"/>
      <c r="L108" s="29"/>
      <c r="M108" s="29"/>
      <c r="N108" s="29"/>
      <c r="O108" s="29"/>
      <c r="P108" s="29"/>
      <c r="Q108" s="29"/>
      <c r="R108" s="29"/>
      <c r="S108" s="29"/>
      <c r="T108" s="2122"/>
      <c r="U108" s="5"/>
      <c r="V108" s="5"/>
      <c r="W108" s="5"/>
      <c r="X108" s="5"/>
      <c r="Y108" s="5"/>
      <c r="Z108" s="5"/>
      <c r="AA108" s="5"/>
      <c r="AB108" s="5"/>
      <c r="AC108" s="5"/>
    </row>
    <row r="109" spans="1:29" ht="14.25" x14ac:dyDescent="0.3">
      <c r="A109" s="25"/>
      <c r="B109" s="294">
        <f t="shared" si="27"/>
        <v>0</v>
      </c>
      <c r="C109" s="295">
        <f t="shared" si="27"/>
        <v>0</v>
      </c>
      <c r="D109" s="263"/>
      <c r="E109" s="242"/>
      <c r="F109" s="242"/>
      <c r="G109" s="242"/>
      <c r="H109" s="242"/>
      <c r="I109" s="242"/>
      <c r="J109" s="29"/>
      <c r="K109" s="29"/>
      <c r="L109" s="29"/>
      <c r="M109" s="29"/>
      <c r="N109" s="29"/>
      <c r="O109" s="29"/>
      <c r="P109" s="29"/>
      <c r="Q109" s="29"/>
      <c r="R109" s="29"/>
      <c r="S109" s="29"/>
      <c r="T109" s="2122"/>
      <c r="U109" s="5"/>
      <c r="V109" s="5"/>
      <c r="W109" s="5"/>
      <c r="X109" s="5"/>
      <c r="Y109" s="5"/>
      <c r="Z109" s="5"/>
      <c r="AA109" s="5"/>
      <c r="AB109" s="5"/>
      <c r="AC109" s="5"/>
    </row>
    <row r="110" spans="1:29" ht="14.25" x14ac:dyDescent="0.3">
      <c r="A110" s="25"/>
      <c r="B110" s="294">
        <f t="shared" si="27"/>
        <v>0</v>
      </c>
      <c r="C110" s="295">
        <f t="shared" si="27"/>
        <v>0</v>
      </c>
      <c r="D110" s="263"/>
      <c r="E110" s="242"/>
      <c r="F110" s="242"/>
      <c r="G110" s="242"/>
      <c r="H110" s="242"/>
      <c r="I110" s="242"/>
      <c r="J110" s="29"/>
      <c r="K110" s="29"/>
      <c r="L110" s="29"/>
      <c r="M110" s="29"/>
      <c r="N110" s="29"/>
      <c r="O110" s="29"/>
      <c r="P110" s="29"/>
      <c r="Q110" s="29"/>
      <c r="R110" s="29"/>
      <c r="S110" s="29"/>
      <c r="T110" s="2122"/>
      <c r="U110" s="5"/>
      <c r="V110" s="5"/>
      <c r="W110" s="5"/>
      <c r="X110" s="5"/>
      <c r="Y110" s="5"/>
      <c r="Z110" s="5"/>
      <c r="AA110" s="5"/>
      <c r="AB110" s="5"/>
      <c r="AC110" s="5"/>
    </row>
    <row r="111" spans="1:29" ht="14.25" x14ac:dyDescent="0.3">
      <c r="A111" s="25"/>
      <c r="B111" s="294">
        <f t="shared" si="27"/>
        <v>0</v>
      </c>
      <c r="C111" s="295">
        <f t="shared" si="27"/>
        <v>0</v>
      </c>
      <c r="D111" s="263"/>
      <c r="E111" s="242"/>
      <c r="F111" s="242"/>
      <c r="G111" s="242"/>
      <c r="H111" s="242"/>
      <c r="I111" s="242"/>
      <c r="J111" s="29"/>
      <c r="K111" s="29"/>
      <c r="L111" s="29"/>
      <c r="M111" s="29"/>
      <c r="N111" s="29"/>
      <c r="O111" s="29"/>
      <c r="P111" s="29"/>
      <c r="Q111" s="29"/>
      <c r="R111" s="29"/>
      <c r="S111" s="29"/>
      <c r="T111" s="2122"/>
      <c r="U111" s="5"/>
      <c r="V111" s="5"/>
      <c r="W111" s="5"/>
      <c r="X111" s="5"/>
      <c r="Y111" s="5"/>
      <c r="Z111" s="5"/>
      <c r="AA111" s="5"/>
      <c r="AB111" s="5"/>
      <c r="AC111" s="5"/>
    </row>
    <row r="112" spans="1:29" ht="14.25" x14ac:dyDescent="0.3">
      <c r="A112" s="25"/>
      <c r="B112" s="294">
        <f t="shared" si="27"/>
        <v>0</v>
      </c>
      <c r="C112" s="295">
        <f t="shared" si="27"/>
        <v>0</v>
      </c>
      <c r="D112" s="263"/>
      <c r="E112" s="242"/>
      <c r="F112" s="242"/>
      <c r="G112" s="242"/>
      <c r="H112" s="242"/>
      <c r="I112" s="242"/>
      <c r="J112" s="29"/>
      <c r="K112" s="29"/>
      <c r="L112" s="29"/>
      <c r="M112" s="29"/>
      <c r="N112" s="29"/>
      <c r="O112" s="29"/>
      <c r="P112" s="29"/>
      <c r="Q112" s="29"/>
      <c r="R112" s="29"/>
      <c r="S112" s="29"/>
      <c r="T112" s="2122"/>
      <c r="U112" s="5"/>
      <c r="V112" s="5"/>
      <c r="W112" s="5"/>
      <c r="X112" s="5"/>
      <c r="Y112" s="5"/>
      <c r="Z112" s="5"/>
      <c r="AA112" s="5"/>
      <c r="AB112" s="5"/>
      <c r="AC112" s="5"/>
    </row>
    <row r="113" spans="1:29" ht="15" thickBot="1" x14ac:dyDescent="0.35">
      <c r="A113" s="25"/>
      <c r="B113" s="296">
        <f t="shared" si="27"/>
        <v>0</v>
      </c>
      <c r="C113" s="297">
        <f t="shared" si="27"/>
        <v>0</v>
      </c>
      <c r="D113" s="2126"/>
      <c r="E113" s="242"/>
      <c r="F113" s="242"/>
      <c r="G113" s="242"/>
      <c r="H113" s="242"/>
      <c r="I113" s="242"/>
      <c r="J113" s="29"/>
      <c r="K113" s="29"/>
      <c r="L113" s="29"/>
      <c r="M113" s="29"/>
      <c r="N113" s="29"/>
      <c r="O113" s="29"/>
      <c r="P113" s="29"/>
      <c r="Q113" s="29"/>
      <c r="R113" s="29"/>
      <c r="S113" s="29"/>
      <c r="T113" s="2122"/>
      <c r="U113" s="5"/>
      <c r="V113" s="5"/>
      <c r="W113" s="5"/>
      <c r="X113" s="5"/>
      <c r="Y113" s="5"/>
      <c r="Z113" s="5"/>
      <c r="AA113" s="5"/>
      <c r="AB113" s="5"/>
      <c r="AC113" s="5"/>
    </row>
    <row r="114" spans="1:29" ht="13.5" x14ac:dyDescent="0.3">
      <c r="A114" s="25"/>
      <c r="B114" s="25"/>
      <c r="C114" s="25"/>
      <c r="D114" s="25"/>
      <c r="E114" s="2125"/>
      <c r="F114" s="2125"/>
      <c r="G114" s="2125"/>
      <c r="H114" s="2125"/>
      <c r="I114" s="2125"/>
      <c r="J114" s="2125"/>
      <c r="K114" s="2125"/>
      <c r="L114" s="2125"/>
      <c r="M114" s="2125"/>
      <c r="N114" s="2125"/>
      <c r="O114" s="2125"/>
      <c r="P114" s="2125"/>
      <c r="Q114" s="2125"/>
      <c r="R114" s="2125"/>
      <c r="S114" s="2125"/>
    </row>
    <row r="115" spans="1:29" ht="15" thickBot="1" x14ac:dyDescent="0.35">
      <c r="A115" s="25"/>
      <c r="B115" s="233"/>
      <c r="C115" s="25"/>
      <c r="D115" s="25"/>
      <c r="E115" s="25"/>
      <c r="F115" s="25"/>
      <c r="G115" s="25"/>
      <c r="H115" s="25"/>
      <c r="I115" s="25"/>
      <c r="J115" s="25"/>
      <c r="K115" s="25"/>
      <c r="L115" s="25"/>
      <c r="M115" s="25"/>
      <c r="N115" s="25"/>
      <c r="O115" s="25"/>
      <c r="P115" s="25"/>
      <c r="Q115" s="25"/>
      <c r="R115" s="25"/>
      <c r="S115" s="25"/>
    </row>
    <row r="116" spans="1:29" ht="13.5" x14ac:dyDescent="0.3">
      <c r="A116" s="25"/>
      <c r="B116" s="2527" t="str">
        <f>IF('0 Úvod'!$M$10="English",Slovnik!$D$423,Slovnik!$C$423)</f>
        <v>Komentáře</v>
      </c>
      <c r="C116" s="2528"/>
      <c r="D116" s="2528"/>
      <c r="E116" s="2528"/>
      <c r="F116" s="2528"/>
      <c r="G116" s="2528"/>
      <c r="H116" s="2528"/>
      <c r="I116" s="2528"/>
      <c r="J116" s="2528"/>
      <c r="K116" s="2528"/>
      <c r="L116" s="2528"/>
      <c r="M116" s="2528"/>
      <c r="N116" s="2528"/>
      <c r="O116" s="2528"/>
      <c r="P116" s="2528"/>
      <c r="Q116" s="2566"/>
      <c r="R116" s="2566"/>
      <c r="S116" s="2567"/>
    </row>
    <row r="117" spans="1:29" ht="14.25" thickBot="1" x14ac:dyDescent="0.35">
      <c r="A117" s="25"/>
      <c r="B117" s="2568"/>
      <c r="C117" s="2569"/>
      <c r="D117" s="2569"/>
      <c r="E117" s="2569"/>
      <c r="F117" s="2569"/>
      <c r="G117" s="2569"/>
      <c r="H117" s="2569"/>
      <c r="I117" s="2569"/>
      <c r="J117" s="2569"/>
      <c r="K117" s="2569"/>
      <c r="L117" s="2569"/>
      <c r="M117" s="2569"/>
      <c r="N117" s="2569"/>
      <c r="O117" s="2569"/>
      <c r="P117" s="2569"/>
      <c r="Q117" s="2570"/>
      <c r="R117" s="2570"/>
      <c r="S117" s="2571"/>
    </row>
    <row r="118" spans="1:29" ht="29.25" customHeight="1" x14ac:dyDescent="0.3">
      <c r="A118" s="25"/>
      <c r="B118" s="2535" t="str">
        <f>IF('0 Úvod'!$M$10="English",Slovnik!$E$415,Slovnik!$E$414)</f>
        <v xml:space="preserve">Příjmy provozovatele železniční infrastruktury - poplatek za použití dopravní cesty, příjmy z přidělení kapacity dráhy, příjmy z pronájmu či prodeje ploch, pozemků či budov. Způsob stanovení jejich výše a postup výpočtu poplatku za použití dopravní cesty je součástí „Prohlášení o dráze“ vždy pro aktuální a následující rok. </v>
      </c>
      <c r="C118" s="2536"/>
      <c r="D118" s="2536"/>
      <c r="E118" s="2536"/>
      <c r="F118" s="2536"/>
      <c r="G118" s="2536"/>
      <c r="H118" s="2536"/>
      <c r="I118" s="2536"/>
      <c r="J118" s="2536"/>
      <c r="K118" s="2536"/>
      <c r="L118" s="2536"/>
      <c r="M118" s="2536"/>
      <c r="N118" s="2536"/>
      <c r="O118" s="2536"/>
      <c r="P118" s="2536"/>
      <c r="Q118" s="2536"/>
      <c r="R118" s="2536"/>
      <c r="S118" s="2537"/>
    </row>
    <row r="119" spans="1:29" ht="28.5" customHeight="1" x14ac:dyDescent="0.3">
      <c r="A119" s="25"/>
      <c r="B119" s="2538" t="str">
        <f>IF('0 Úvod'!$M$10="English",Slovnik!$E$418,Slovnik!$E$417)</f>
        <v>Příjmy od uživatelů silniční dopravy - příjem z mýtného. Mýtné se platí za užití zpoplatněných komunikací (dálnic a vyznačených úseků silnic 1.třídy) vybranými typy nákladních vozidel. Výši sazeb mýtného a rozlišení sazeb mýtného podle kritérií stanoví příslušný prováděcí právní předpis. Příjmy zahrnují tržby z mýtného snížené o provozní náklady mýtného systému.</v>
      </c>
      <c r="C119" s="2539"/>
      <c r="D119" s="2539"/>
      <c r="E119" s="2539"/>
      <c r="F119" s="2539"/>
      <c r="G119" s="2539"/>
      <c r="H119" s="2539"/>
      <c r="I119" s="2539"/>
      <c r="J119" s="2539"/>
      <c r="K119" s="2539"/>
      <c r="L119" s="2539"/>
      <c r="M119" s="2539"/>
      <c r="N119" s="2539"/>
      <c r="O119" s="2539"/>
      <c r="P119" s="2539"/>
      <c r="Q119" s="2539"/>
      <c r="R119" s="2539"/>
      <c r="S119" s="2540"/>
    </row>
    <row r="120" spans="1:29" ht="30" customHeight="1" x14ac:dyDescent="0.3">
      <c r="A120" s="25"/>
      <c r="B120" s="2541" t="str">
        <f>IF('0 Úvod'!$M$10="English",Slovnik!$E$421,Slovnik!$E$420)</f>
        <v>Příjmy od uživatelů vodní dopravy - poplatky za využití infrastruktury na vodní cestě a služeb s tím spojených. Konkrétně se jedná o využití přístavišť a poskytování přístavních služeb, případně poplatků za použití plavebních stupňů. V ČR je zákonem o vodách garantovaný bezplatný přístup na vodní cestu. Na základě samotného použití vodní cesty tedy nevzniká povinnost plaby poplatků za její využití ani odpovídající příjmový finanční tok správce infrastruktury.</v>
      </c>
      <c r="C120" s="2542"/>
      <c r="D120" s="2542"/>
      <c r="E120" s="2542"/>
      <c r="F120" s="2542"/>
      <c r="G120" s="2542"/>
      <c r="H120" s="2542"/>
      <c r="I120" s="2542"/>
      <c r="J120" s="2542"/>
      <c r="K120" s="2542"/>
      <c r="L120" s="2542"/>
      <c r="M120" s="2542"/>
      <c r="N120" s="2542"/>
      <c r="O120" s="2542"/>
      <c r="P120" s="2542"/>
      <c r="Q120" s="2542"/>
      <c r="R120" s="2542"/>
      <c r="S120" s="2543"/>
    </row>
    <row r="121" spans="1:29" ht="14.25" customHeight="1" thickBot="1" x14ac:dyDescent="0.35">
      <c r="A121" s="25"/>
      <c r="B121" s="2563" t="str">
        <f>IF('0 Úvod'!$M$10="English",Slovnik!$E$424,Slovnik!$E$423)</f>
        <v>Příjmy od uživatelů městské hromadné dopravy představují příjem od cestujících z jízdného vztažený k příslušnému dopravnímu výkonu.</v>
      </c>
      <c r="C121" s="2564"/>
      <c r="D121" s="2564"/>
      <c r="E121" s="2564"/>
      <c r="F121" s="2564"/>
      <c r="G121" s="2564"/>
      <c r="H121" s="2564"/>
      <c r="I121" s="2564"/>
      <c r="J121" s="2564"/>
      <c r="K121" s="2564"/>
      <c r="L121" s="2564"/>
      <c r="M121" s="2564"/>
      <c r="N121" s="2564"/>
      <c r="O121" s="2564"/>
      <c r="P121" s="2564"/>
      <c r="Q121" s="2564"/>
      <c r="R121" s="2564"/>
      <c r="S121" s="2565"/>
    </row>
    <row r="122" spans="1:29" ht="13.5" x14ac:dyDescent="0.3">
      <c r="A122" s="25"/>
      <c r="B122" s="25"/>
      <c r="C122" s="25"/>
      <c r="D122" s="25"/>
      <c r="E122" s="25"/>
      <c r="F122" s="25"/>
      <c r="G122" s="25"/>
      <c r="H122" s="25"/>
      <c r="I122" s="25"/>
      <c r="J122" s="25"/>
      <c r="K122" s="25"/>
      <c r="L122" s="25"/>
      <c r="M122" s="25"/>
      <c r="N122" s="25"/>
      <c r="O122" s="25"/>
      <c r="P122" s="25"/>
      <c r="Q122" s="25"/>
      <c r="R122" s="25"/>
      <c r="S122" s="25"/>
    </row>
    <row r="123" spans="1:29" ht="14.25" x14ac:dyDescent="0.3">
      <c r="A123" s="25"/>
      <c r="B123" s="25"/>
      <c r="C123" s="1898"/>
      <c r="D123" s="25"/>
      <c r="E123" s="25"/>
      <c r="F123" s="25"/>
      <c r="G123" s="25"/>
      <c r="H123" s="25"/>
      <c r="I123" s="25"/>
      <c r="J123" s="25"/>
      <c r="K123" s="25"/>
      <c r="L123" s="25"/>
      <c r="M123" s="25"/>
      <c r="N123" s="25"/>
      <c r="O123" s="25"/>
      <c r="P123" s="25"/>
      <c r="Q123" s="25"/>
      <c r="R123" s="25"/>
      <c r="S123" s="25"/>
    </row>
    <row r="124" spans="1:29" ht="13.5" x14ac:dyDescent="0.3">
      <c r="A124" s="25"/>
      <c r="B124" s="25"/>
      <c r="C124" s="25"/>
      <c r="D124" s="25"/>
      <c r="E124" s="25"/>
      <c r="F124" s="25"/>
      <c r="G124" s="25"/>
      <c r="H124" s="25"/>
      <c r="I124" s="25"/>
      <c r="J124" s="25"/>
      <c r="K124" s="25"/>
      <c r="L124" s="25"/>
      <c r="M124" s="25"/>
      <c r="N124" s="25"/>
      <c r="O124" s="25"/>
      <c r="P124" s="25"/>
      <c r="Q124" s="25"/>
      <c r="R124" s="25"/>
      <c r="S124" s="25"/>
    </row>
    <row r="125" spans="1:29" ht="15" x14ac:dyDescent="0.25">
      <c r="C125" s="1899"/>
    </row>
    <row r="126" spans="1:29" ht="12.75" x14ac:dyDescent="0.2">
      <c r="C126" s="1900"/>
    </row>
    <row r="127" spans="1:29" ht="12.75" x14ac:dyDescent="0.2">
      <c r="C127" s="1901"/>
    </row>
    <row r="128" spans="1:29" ht="12.75" x14ac:dyDescent="0.2">
      <c r="C128" s="1902"/>
    </row>
    <row r="129" spans="3:3" ht="12.75" x14ac:dyDescent="0.2">
      <c r="C129" s="1903"/>
    </row>
    <row r="130" spans="3:3" ht="12.75" x14ac:dyDescent="0.2">
      <c r="C130" s="1904"/>
    </row>
    <row r="131" spans="3:3" ht="12.75" x14ac:dyDescent="0.2">
      <c r="C131" s="1905"/>
    </row>
    <row r="132" spans="3:3" ht="12.75" x14ac:dyDescent="0.2">
      <c r="C132" s="1904"/>
    </row>
    <row r="133" spans="3:3" ht="12.75" x14ac:dyDescent="0.2">
      <c r="C133" s="1905"/>
    </row>
    <row r="134" spans="3:3" ht="12.75" x14ac:dyDescent="0.2">
      <c r="C134" s="1904"/>
    </row>
    <row r="135" spans="3:3" ht="12.75" x14ac:dyDescent="0.2">
      <c r="C135" s="1905"/>
    </row>
  </sheetData>
  <sheetProtection algorithmName="SHA-512" hashValue="WZ39p+BgpgiPqxWxMcG5ulHrtbypWjd3QLXsEbZFTisjW3O4oiO423MYJRK4oZvdxu3xI/oxvsPdlNhFxO0R3w==" saltValue="nm206rwcOcX6WW0KwsbsTg==" spinCount="100000" sheet="1" formatCells="0" formatColumns="0" formatRows="0" insertColumns="0" insertRows="0" insertHyperlinks="0" deleteColumns="0" deleteRows="0" sort="0" autoFilter="0" pivotTables="0"/>
  <mergeCells count="195">
    <mergeCell ref="B121:S121"/>
    <mergeCell ref="AC68:AC69"/>
    <mergeCell ref="T84:T85"/>
    <mergeCell ref="U84:U85"/>
    <mergeCell ref="V84:V85"/>
    <mergeCell ref="W84:W85"/>
    <mergeCell ref="X84:X85"/>
    <mergeCell ref="Y84:Y85"/>
    <mergeCell ref="AB100:AB101"/>
    <mergeCell ref="AC100:AC101"/>
    <mergeCell ref="Z84:Z85"/>
    <mergeCell ref="AA84:AA85"/>
    <mergeCell ref="AB84:AB85"/>
    <mergeCell ref="AC84:AC85"/>
    <mergeCell ref="X100:X101"/>
    <mergeCell ref="Y100:Y101"/>
    <mergeCell ref="Z100:Z101"/>
    <mergeCell ref="AA100:AA101"/>
    <mergeCell ref="K100:K101"/>
    <mergeCell ref="B116:S117"/>
    <mergeCell ref="E68:E69"/>
    <mergeCell ref="F68:F69"/>
    <mergeCell ref="G68:G69"/>
    <mergeCell ref="H68:H69"/>
    <mergeCell ref="AB52:AB53"/>
    <mergeCell ref="S9:S10"/>
    <mergeCell ref="S2:S3"/>
    <mergeCell ref="Q9:Q10"/>
    <mergeCell ref="Q2:Q3"/>
    <mergeCell ref="R2:R3"/>
    <mergeCell ref="T100:T101"/>
    <mergeCell ref="U100:U101"/>
    <mergeCell ref="V100:V101"/>
    <mergeCell ref="W100:W101"/>
    <mergeCell ref="AB68:AB69"/>
    <mergeCell ref="R32:R33"/>
    <mergeCell ref="Q68:Q69"/>
    <mergeCell ref="S52:S53"/>
    <mergeCell ref="R68:R69"/>
    <mergeCell ref="R100:R101"/>
    <mergeCell ref="S68:S69"/>
    <mergeCell ref="R52:R53"/>
    <mergeCell ref="E2:E3"/>
    <mergeCell ref="F2:F3"/>
    <mergeCell ref="G2:G3"/>
    <mergeCell ref="H2:H3"/>
    <mergeCell ref="I2:I3"/>
    <mergeCell ref="J2:J3"/>
    <mergeCell ref="O2:O3"/>
    <mergeCell ref="AC52:AC53"/>
    <mergeCell ref="T68:T69"/>
    <mergeCell ref="U68:U69"/>
    <mergeCell ref="V68:V69"/>
    <mergeCell ref="W68:W69"/>
    <mergeCell ref="X68:X69"/>
    <mergeCell ref="Y68:Y69"/>
    <mergeCell ref="Z68:Z69"/>
    <mergeCell ref="AA68:AA69"/>
    <mergeCell ref="T52:T53"/>
    <mergeCell ref="U52:U53"/>
    <mergeCell ref="V52:V53"/>
    <mergeCell ref="W52:W53"/>
    <mergeCell ref="X52:X53"/>
    <mergeCell ref="Y52:Y53"/>
    <mergeCell ref="Z52:Z53"/>
    <mergeCell ref="AA52:AA53"/>
    <mergeCell ref="P2:P3"/>
    <mergeCell ref="R9:R10"/>
    <mergeCell ref="O9:O10"/>
    <mergeCell ref="I9:I10"/>
    <mergeCell ref="J9:J10"/>
    <mergeCell ref="M2:M3"/>
    <mergeCell ref="N2:N3"/>
    <mergeCell ref="K9:K10"/>
    <mergeCell ref="N9:N10"/>
    <mergeCell ref="K2:K3"/>
    <mergeCell ref="L2:L3"/>
    <mergeCell ref="E17:E18"/>
    <mergeCell ref="F17:F18"/>
    <mergeCell ref="G17:G18"/>
    <mergeCell ref="H17:H18"/>
    <mergeCell ref="L9:L10"/>
    <mergeCell ref="M9:M10"/>
    <mergeCell ref="P17:P18"/>
    <mergeCell ref="L17:L18"/>
    <mergeCell ref="I17:I18"/>
    <mergeCell ref="J17:J18"/>
    <mergeCell ref="M17:M18"/>
    <mergeCell ref="N17:N18"/>
    <mergeCell ref="K17:K18"/>
    <mergeCell ref="P9:P10"/>
    <mergeCell ref="E9:E10"/>
    <mergeCell ref="F9:F10"/>
    <mergeCell ref="G9:G10"/>
    <mergeCell ref="H9:H10"/>
    <mergeCell ref="E32:E33"/>
    <mergeCell ref="F32:F33"/>
    <mergeCell ref="G32:G33"/>
    <mergeCell ref="H32:H33"/>
    <mergeCell ref="E24:E25"/>
    <mergeCell ref="F24:F25"/>
    <mergeCell ref="S17:S18"/>
    <mergeCell ref="Q24:Q25"/>
    <mergeCell ref="R24:R25"/>
    <mergeCell ref="S24:S25"/>
    <mergeCell ref="M24:M25"/>
    <mergeCell ref="Q17:Q18"/>
    <mergeCell ref="O24:O25"/>
    <mergeCell ref="R17:R18"/>
    <mergeCell ref="O17:O18"/>
    <mergeCell ref="J24:J25"/>
    <mergeCell ref="G24:G25"/>
    <mergeCell ref="H24:H25"/>
    <mergeCell ref="K24:K25"/>
    <mergeCell ref="L24:L25"/>
    <mergeCell ref="I24:I25"/>
    <mergeCell ref="S32:S33"/>
    <mergeCell ref="N24:N25"/>
    <mergeCell ref="P24:P25"/>
    <mergeCell ref="P32:P33"/>
    <mergeCell ref="Q32:Q33"/>
    <mergeCell ref="O32:O33"/>
    <mergeCell ref="R39:R40"/>
    <mergeCell ref="S39:S40"/>
    <mergeCell ref="L39:L40"/>
    <mergeCell ref="M39:M40"/>
    <mergeCell ref="N39:N40"/>
    <mergeCell ref="O39:O40"/>
    <mergeCell ref="P39:P40"/>
    <mergeCell ref="Q39:Q40"/>
    <mergeCell ref="E39:E40"/>
    <mergeCell ref="F39:F40"/>
    <mergeCell ref="G39:G40"/>
    <mergeCell ref="H39:H40"/>
    <mergeCell ref="I39:I40"/>
    <mergeCell ref="E52:E53"/>
    <mergeCell ref="F52:F53"/>
    <mergeCell ref="G52:G53"/>
    <mergeCell ref="H52:H53"/>
    <mergeCell ref="I52:I53"/>
    <mergeCell ref="K52:K53"/>
    <mergeCell ref="L52:L53"/>
    <mergeCell ref="J68:J69"/>
    <mergeCell ref="K68:K69"/>
    <mergeCell ref="K39:K40"/>
    <mergeCell ref="N32:N33"/>
    <mergeCell ref="M32:M33"/>
    <mergeCell ref="I32:I33"/>
    <mergeCell ref="J32:J33"/>
    <mergeCell ref="J39:J40"/>
    <mergeCell ref="K32:K33"/>
    <mergeCell ref="L32:L33"/>
    <mergeCell ref="N52:N53"/>
    <mergeCell ref="N68:N69"/>
    <mergeCell ref="I68:I69"/>
    <mergeCell ref="J52:J53"/>
    <mergeCell ref="P52:P53"/>
    <mergeCell ref="Q52:Q53"/>
    <mergeCell ref="M52:M53"/>
    <mergeCell ref="L68:L69"/>
    <mergeCell ref="M68:M69"/>
    <mergeCell ref="O52:O53"/>
    <mergeCell ref="Q100:Q101"/>
    <mergeCell ref="S100:S101"/>
    <mergeCell ref="L100:L101"/>
    <mergeCell ref="O84:O85"/>
    <mergeCell ref="P84:P85"/>
    <mergeCell ref="L84:L85"/>
    <mergeCell ref="M84:M85"/>
    <mergeCell ref="O68:O69"/>
    <mergeCell ref="P68:P69"/>
    <mergeCell ref="B118:S118"/>
    <mergeCell ref="B119:S119"/>
    <mergeCell ref="B120:S120"/>
    <mergeCell ref="I84:I85"/>
    <mergeCell ref="K84:K85"/>
    <mergeCell ref="Q84:Q85"/>
    <mergeCell ref="R84:R85"/>
    <mergeCell ref="S84:S85"/>
    <mergeCell ref="P100:P101"/>
    <mergeCell ref="E100:E101"/>
    <mergeCell ref="F100:F101"/>
    <mergeCell ref="G100:G101"/>
    <mergeCell ref="H100:H101"/>
    <mergeCell ref="N100:N101"/>
    <mergeCell ref="O100:O101"/>
    <mergeCell ref="J84:J85"/>
    <mergeCell ref="N84:N85"/>
    <mergeCell ref="M100:M101"/>
    <mergeCell ref="E84:E85"/>
    <mergeCell ref="F84:F85"/>
    <mergeCell ref="G84:G85"/>
    <mergeCell ref="H84:H85"/>
    <mergeCell ref="I100:I101"/>
    <mergeCell ref="J100:J101"/>
  </mergeCells>
  <phoneticPr fontId="0" type="noConversion"/>
  <pageMargins left="0.39370078740157483" right="0.15748031496062992" top="0.78740157480314965" bottom="0.78740157480314965" header="0.39370078740157483" footer="0.39370078740157483"/>
  <pageSetup paperSize="9" scale="56" fitToHeight="0" orientation="landscape" r:id="rId1"/>
  <headerFooter alignWithMargins="0">
    <oddFooter>&amp;L&amp;A&amp;C&amp;D</oddFooter>
  </headerFooter>
  <ignoredErrors>
    <ignoredError sqref="D43:S44 D8:D11 D13 D28 D38:D41 D15:D17 D14 D23:D26 D30:S32 D29 E23:S23 E15:S18 E8:S8 E7:G7 E14:S14 E22:S22 E29:S29 E36:S38 E35:S35 E42:S42 E10:S10 F9:S9 E25:S25 F24:S24 E40:S41 F39:S39 I7:S7 E34:S34 E33:S33" unlockedFormula="1"/>
    <ignoredError sqref="C1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21</vt:i4>
      </vt:variant>
      <vt:variant>
        <vt:lpstr>Pojmenované oblasti</vt:lpstr>
      </vt:variant>
      <vt:variant>
        <vt:i4>27</vt:i4>
      </vt:variant>
    </vt:vector>
  </HeadingPairs>
  <TitlesOfParts>
    <vt:vector size="48" baseType="lpstr">
      <vt:lpstr>0 Úvod</vt:lpstr>
      <vt:lpstr>1 CIN</vt:lpstr>
      <vt:lpstr>2 ZH</vt:lpstr>
      <vt:lpstr>3 PN infrastruktury</vt:lpstr>
      <vt:lpstr>4 PN vozidel</vt:lpstr>
      <vt:lpstr>5 Úspory času</vt:lpstr>
      <vt:lpstr>6 Externality</vt:lpstr>
      <vt:lpstr>7 Osobní a rekreační plavba</vt:lpstr>
      <vt:lpstr>8 Příjmy</vt:lpstr>
      <vt:lpstr>9 Ostatní přínosy EA</vt:lpstr>
      <vt:lpstr>10 Finanční analýza (FRR_C)</vt:lpstr>
      <vt:lpstr>11 KF</vt:lpstr>
      <vt:lpstr>12 Ekonomická analýza (ERR)</vt:lpstr>
      <vt:lpstr>13 Kontrola dotací</vt:lpstr>
      <vt:lpstr>14 Mezera ve financování</vt:lpstr>
      <vt:lpstr>15 Finanční struktura</vt:lpstr>
      <vt:lpstr>16 Udržitelnost</vt:lpstr>
      <vt:lpstr>17 FRR_K</vt:lpstr>
      <vt:lpstr>Vstupy z HDM-4 a EXNAD</vt:lpstr>
      <vt:lpstr>Slovnik</vt:lpstr>
      <vt:lpstr>Změnový list</vt:lpstr>
      <vt:lpstr>'3 PN infrastruktury'!_Toc490165986</vt:lpstr>
      <vt:lpstr>'0 Úvod'!Oblast_tisku</vt:lpstr>
      <vt:lpstr>'1 CIN'!Oblast_tisku</vt:lpstr>
      <vt:lpstr>'10 Finanční analýza (FRR_C)'!Oblast_tisku</vt:lpstr>
      <vt:lpstr>'11 KF'!Oblast_tisku</vt:lpstr>
      <vt:lpstr>'12 Ekonomická analýza (ERR)'!Oblast_tisku</vt:lpstr>
      <vt:lpstr>'13 Kontrola dotací'!Oblast_tisku</vt:lpstr>
      <vt:lpstr>'14 Mezera ve financování'!Oblast_tisku</vt:lpstr>
      <vt:lpstr>'15 Finanční struktura'!Oblast_tisku</vt:lpstr>
      <vt:lpstr>'16 Udržitelnost'!Oblast_tisku</vt:lpstr>
      <vt:lpstr>'17 FRR_K'!Oblast_tisku</vt:lpstr>
      <vt:lpstr>'2 ZH'!Oblast_tisku</vt:lpstr>
      <vt:lpstr>'3 PN infrastruktury'!Oblast_tisku</vt:lpstr>
      <vt:lpstr>'4 PN vozidel'!Oblast_tisku</vt:lpstr>
      <vt:lpstr>'5 Úspory času'!Oblast_tisku</vt:lpstr>
      <vt:lpstr>'6 Externality'!Oblast_tisku</vt:lpstr>
      <vt:lpstr>'7 Osobní a rekreační plavba'!Oblast_tisku</vt:lpstr>
      <vt:lpstr>'8 Příjmy'!Oblast_tisku</vt:lpstr>
      <vt:lpstr>'9 Ostatní přínosy EA'!Oblast_tisku</vt:lpstr>
      <vt:lpstr>Slovnik!Oblast_tisku</vt:lpstr>
      <vt:lpstr>PINFRA</vt:lpstr>
      <vt:lpstr>Slovnik!PNINFRA</vt:lpstr>
      <vt:lpstr>PNINFRA</vt:lpstr>
      <vt:lpstr>Slovnik!PNVOZIDLA</vt:lpstr>
      <vt:lpstr>PNVOZIDLA</vt:lpstr>
      <vt:lpstr>SAZBA</vt:lpstr>
      <vt:lpstr>SLOVNIK</vt:lpstr>
    </vt:vector>
  </TitlesOfParts>
  <Company>BEI | EIB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Katarina Vrabelova</dc:creator>
  <cp:lastModifiedBy>Drvota Tomáš, Ing.</cp:lastModifiedBy>
  <cp:lastPrinted>2017-09-10T12:14:38Z</cp:lastPrinted>
  <dcterms:created xsi:type="dcterms:W3CDTF">2004-06-30T11:02:41Z</dcterms:created>
  <dcterms:modified xsi:type="dcterms:W3CDTF">2022-06-13T12:34:14Z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