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ovni\DTM_CR\_projekt_DTMZ\VZ 1_porizeni_dat\zadavacka\VZ1 final 2022 01\"/>
    </mc:Choice>
  </mc:AlternateContent>
  <xr:revisionPtr revIDLastSave="0" documentId="13_ncr:1_{1F2A40AE-9DC8-43B7-ACD1-CA63E648EC24}" xr6:coauthVersionLast="47" xr6:coauthVersionMax="47" xr10:uidLastSave="{00000000-0000-0000-0000-000000000000}"/>
  <bookViews>
    <workbookView xWindow="28680" yWindow="-120" windowWidth="29040" windowHeight="16440" firstSheet="1" activeTab="1" xr2:uid="{00000000-000D-0000-FFFF-FFFF00000000}"/>
  </bookViews>
  <sheets>
    <sheet name="Příloha 1u" sheetId="4" state="hidden" r:id="rId1"/>
    <sheet name="List1" sheetId="5" r:id="rId2"/>
  </sheets>
  <definedNames>
    <definedName name="_xlnm._FilterDatabase" localSheetId="0" hidden="1">'Příloha 1u'!$A$2:$AX$352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0" i="5" l="1"/>
  <c r="O221" i="5"/>
  <c r="O260" i="5"/>
  <c r="E156" i="5"/>
  <c r="E206" i="5"/>
  <c r="E275" i="5"/>
  <c r="E293" i="5"/>
  <c r="V168" i="4"/>
  <c r="G161" i="5"/>
  <c r="G249" i="5"/>
  <c r="G272" i="5"/>
  <c r="G297" i="5"/>
  <c r="G311" i="5"/>
  <c r="G314" i="5"/>
  <c r="G339" i="5"/>
  <c r="M339" i="5"/>
  <c r="M333" i="5"/>
  <c r="M321" i="5"/>
  <c r="M320" i="5"/>
  <c r="M318" i="5"/>
  <c r="M315" i="5"/>
  <c r="M314" i="5"/>
  <c r="M311" i="5"/>
  <c r="S303" i="5"/>
  <c r="Q303" i="5"/>
  <c r="Q301" i="5"/>
  <c r="Q297" i="5"/>
  <c r="M291" i="5"/>
  <c r="M289" i="5"/>
  <c r="W287" i="5"/>
  <c r="W285" i="5"/>
  <c r="W282" i="5"/>
  <c r="M277" i="5"/>
  <c r="M274" i="5"/>
  <c r="W266" i="5"/>
  <c r="M250" i="5"/>
  <c r="W219" i="5"/>
  <c r="M218" i="5"/>
  <c r="W210" i="5"/>
  <c r="W209" i="5"/>
  <c r="Q209" i="5"/>
  <c r="W207" i="5"/>
  <c r="W206" i="5"/>
  <c r="W185" i="5"/>
  <c r="M184" i="5"/>
  <c r="W164" i="5"/>
  <c r="M162" i="5"/>
  <c r="M160" i="5"/>
  <c r="W156" i="5"/>
  <c r="W146" i="5"/>
  <c r="W135" i="5"/>
  <c r="W121" i="5"/>
  <c r="W46" i="5"/>
  <c r="W41" i="5"/>
  <c r="W29" i="5"/>
  <c r="W28" i="5"/>
  <c r="W23" i="5"/>
  <c r="M16" i="5"/>
  <c r="W6" i="5"/>
  <c r="J384" i="4"/>
  <c r="L297" i="4"/>
  <c r="V269" i="4"/>
  <c r="V261" i="4"/>
  <c r="C3" i="4"/>
  <c r="C88" i="4"/>
  <c r="D73" i="4"/>
  <c r="C73" i="4"/>
  <c r="D72" i="4"/>
  <c r="C72" i="4"/>
  <c r="E73" i="4"/>
  <c r="E72" i="4"/>
  <c r="J260" i="4"/>
  <c r="C254" i="4"/>
  <c r="J221" i="4"/>
  <c r="J210" i="4"/>
  <c r="Z206" i="4"/>
  <c r="C172" i="4"/>
  <c r="C171" i="4"/>
  <c r="C168" i="4"/>
  <c r="T282" i="4"/>
  <c r="M359" i="4"/>
  <c r="O359" i="4"/>
  <c r="P359" i="4"/>
  <c r="Q359" i="4"/>
  <c r="T359" i="4"/>
  <c r="X359" i="4"/>
  <c r="Y359" i="4"/>
  <c r="AE359" i="4"/>
  <c r="AF359" i="4"/>
  <c r="AG359" i="4"/>
  <c r="AH359" i="4"/>
  <c r="AN359" i="4"/>
  <c r="J359" i="4"/>
  <c r="C243" i="4"/>
  <c r="S354" i="4"/>
  <c r="S355" i="4"/>
  <c r="AC384" i="4"/>
  <c r="AE384" i="4"/>
  <c r="AF384" i="4"/>
  <c r="AG384" i="4"/>
  <c r="AH384" i="4"/>
  <c r="AI384" i="4"/>
  <c r="AK384" i="4"/>
  <c r="AM384" i="4"/>
  <c r="T346" i="4"/>
  <c r="L384" i="4"/>
  <c r="N384" i="4"/>
  <c r="O384" i="4"/>
  <c r="P384" i="4"/>
  <c r="Q384" i="4"/>
  <c r="R384" i="4"/>
  <c r="T384" i="4"/>
  <c r="V384" i="4"/>
  <c r="X384" i="4"/>
  <c r="Z384" i="4"/>
  <c r="C307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1" i="4"/>
  <c r="C310" i="4"/>
  <c r="C309" i="4"/>
  <c r="C308" i="4"/>
  <c r="C306" i="4"/>
  <c r="C305" i="4"/>
  <c r="C304" i="4"/>
  <c r="C303" i="4"/>
  <c r="C302" i="4"/>
  <c r="C301" i="4"/>
  <c r="C300" i="4"/>
  <c r="C299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6" i="4"/>
  <c r="C255" i="4"/>
  <c r="C253" i="4"/>
  <c r="C252" i="4"/>
  <c r="C251" i="4"/>
  <c r="C250" i="4"/>
  <c r="C249" i="4"/>
  <c r="C248" i="4"/>
  <c r="C247" i="4"/>
  <c r="C246" i="4"/>
  <c r="C245" i="4"/>
  <c r="C244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0" i="4"/>
  <c r="C209" i="4"/>
  <c r="C208" i="4"/>
  <c r="C207" i="4"/>
  <c r="C206" i="4"/>
  <c r="C205" i="4"/>
  <c r="C204" i="4"/>
  <c r="C203" i="4"/>
  <c r="C201" i="4"/>
  <c r="C200" i="4"/>
  <c r="C199" i="4"/>
  <c r="C198" i="4"/>
  <c r="C197" i="4"/>
  <c r="C196" i="4"/>
  <c r="C195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0" i="4"/>
  <c r="C169" i="4"/>
  <c r="C167" i="4"/>
  <c r="C166" i="4"/>
  <c r="C165" i="4"/>
  <c r="C164" i="4"/>
  <c r="C163" i="4"/>
  <c r="C162" i="4"/>
  <c r="C161" i="4"/>
  <c r="C160" i="4"/>
  <c r="C159" i="4"/>
  <c r="C158" i="4"/>
  <c r="C157" i="4"/>
  <c r="C155" i="4"/>
  <c r="C154" i="4"/>
  <c r="C153" i="4"/>
  <c r="C152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1" i="4"/>
  <c r="C70" i="4"/>
  <c r="C69" i="4"/>
  <c r="C68" i="4"/>
  <c r="C67" i="4"/>
  <c r="C66" i="4"/>
  <c r="C65" i="4"/>
  <c r="C64" i="4"/>
  <c r="C63" i="4"/>
  <c r="C61" i="4"/>
  <c r="C60" i="4"/>
  <c r="C59" i="4"/>
  <c r="C57" i="4"/>
  <c r="C56" i="4"/>
  <c r="C54" i="4"/>
  <c r="C53" i="4"/>
  <c r="C51" i="4"/>
  <c r="C50" i="4"/>
  <c r="C49" i="4"/>
  <c r="C48" i="4"/>
  <c r="C46" i="4"/>
  <c r="C45" i="4"/>
  <c r="C44" i="4"/>
  <c r="C43" i="4"/>
  <c r="C42" i="4"/>
  <c r="C41" i="4"/>
  <c r="C40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E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E35" i="4"/>
  <c r="D36" i="4"/>
  <c r="D37" i="4"/>
  <c r="D38" i="4"/>
  <c r="D39" i="4"/>
  <c r="E39" i="4"/>
  <c r="D40" i="4"/>
  <c r="E40" i="4"/>
  <c r="D41" i="4"/>
  <c r="D42" i="4"/>
  <c r="E42" i="4"/>
  <c r="D43" i="4"/>
  <c r="D44" i="4"/>
  <c r="E44" i="4"/>
  <c r="D45" i="4"/>
  <c r="D46" i="4"/>
  <c r="D47" i="4"/>
  <c r="E47" i="4"/>
  <c r="D48" i="4"/>
  <c r="D49" i="4"/>
  <c r="D50" i="4"/>
  <c r="D51" i="4"/>
  <c r="D52" i="4"/>
  <c r="E52" i="4"/>
  <c r="D53" i="4"/>
  <c r="E53" i="4"/>
  <c r="D54" i="4"/>
  <c r="D55" i="4"/>
  <c r="E55" i="4"/>
  <c r="D56" i="4"/>
  <c r="D57" i="4"/>
  <c r="D58" i="4"/>
  <c r="E58" i="4"/>
  <c r="D59" i="4"/>
  <c r="D60" i="4"/>
  <c r="D61" i="4"/>
  <c r="D62" i="4"/>
  <c r="E62" i="4"/>
  <c r="D63" i="4"/>
  <c r="D64" i="4"/>
  <c r="D65" i="4"/>
  <c r="D66" i="4"/>
  <c r="D67" i="4"/>
  <c r="D68" i="4"/>
  <c r="D69" i="4"/>
  <c r="D70" i="4"/>
  <c r="D71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E91" i="4"/>
  <c r="D92" i="4"/>
  <c r="D93" i="4"/>
  <c r="D94" i="4"/>
  <c r="D95" i="4"/>
  <c r="D96" i="4"/>
  <c r="D97" i="4"/>
  <c r="E97" i="4"/>
  <c r="D98" i="4"/>
  <c r="D99" i="4"/>
  <c r="D100" i="4"/>
  <c r="D101" i="4"/>
  <c r="E101" i="4"/>
  <c r="D102" i="4"/>
  <c r="D103" i="4"/>
  <c r="D104" i="4"/>
  <c r="D105" i="4"/>
  <c r="E105" i="4"/>
  <c r="D106" i="4"/>
  <c r="D107" i="4"/>
  <c r="D108" i="4"/>
  <c r="D109" i="4"/>
  <c r="D110" i="4"/>
  <c r="D111" i="4"/>
  <c r="D112" i="4"/>
  <c r="D113" i="4"/>
  <c r="D114" i="4"/>
  <c r="D115" i="4"/>
  <c r="E115" i="4"/>
  <c r="D116" i="4"/>
  <c r="D117" i="4"/>
  <c r="D118" i="4"/>
  <c r="D119" i="4"/>
  <c r="D120" i="4"/>
  <c r="D121" i="4"/>
  <c r="D122" i="4"/>
  <c r="E122" i="4"/>
  <c r="D123" i="4"/>
  <c r="D124" i="4"/>
  <c r="E124" i="4"/>
  <c r="D125" i="4"/>
  <c r="D126" i="4"/>
  <c r="E126" i="4"/>
  <c r="D127" i="4"/>
  <c r="D128" i="4"/>
  <c r="D129" i="4"/>
  <c r="D130" i="4"/>
  <c r="D131" i="4"/>
  <c r="E131" i="4"/>
  <c r="D132" i="4"/>
  <c r="D133" i="4"/>
  <c r="E133" i="4"/>
  <c r="D134" i="4"/>
  <c r="D135" i="4"/>
  <c r="D136" i="4"/>
  <c r="D137" i="4"/>
  <c r="D138" i="4"/>
  <c r="D139" i="4"/>
  <c r="D140" i="4"/>
  <c r="D141" i="4"/>
  <c r="E141" i="4"/>
  <c r="D142" i="4"/>
  <c r="D143" i="4"/>
  <c r="D144" i="4"/>
  <c r="D145" i="4"/>
  <c r="E145" i="4"/>
  <c r="D146" i="4"/>
  <c r="D147" i="4"/>
  <c r="D148" i="4"/>
  <c r="D149" i="4"/>
  <c r="E149" i="4"/>
  <c r="D150" i="4"/>
  <c r="D151" i="4"/>
  <c r="E151" i="4"/>
  <c r="D152" i="4"/>
  <c r="D153" i="4"/>
  <c r="E153" i="4"/>
  <c r="D154" i="4"/>
  <c r="D155" i="4"/>
  <c r="D157" i="4"/>
  <c r="D158" i="4"/>
  <c r="E158" i="4"/>
  <c r="D159" i="4"/>
  <c r="E159" i="4"/>
  <c r="D160" i="4"/>
  <c r="D161" i="4"/>
  <c r="D162" i="4"/>
  <c r="D163" i="4"/>
  <c r="E163" i="4"/>
  <c r="D164" i="4"/>
  <c r="D165" i="4"/>
  <c r="D166" i="4"/>
  <c r="E166" i="4"/>
  <c r="D167" i="4"/>
  <c r="D168" i="4"/>
  <c r="D169" i="4"/>
  <c r="D170" i="4"/>
  <c r="D171" i="4"/>
  <c r="E171" i="4"/>
  <c r="D172" i="4"/>
  <c r="D173" i="4"/>
  <c r="D174" i="4"/>
  <c r="E174" i="4"/>
  <c r="D175" i="4"/>
  <c r="D176" i="4"/>
  <c r="D177" i="4"/>
  <c r="D178" i="4"/>
  <c r="E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E194" i="4"/>
  <c r="D195" i="4"/>
  <c r="D196" i="4"/>
  <c r="D197" i="4"/>
  <c r="D198" i="4"/>
  <c r="D199" i="4"/>
  <c r="E199" i="4"/>
  <c r="D200" i="4"/>
  <c r="D201" i="4"/>
  <c r="D202" i="4"/>
  <c r="E202" i="4"/>
  <c r="D203" i="4"/>
  <c r="D204" i="4"/>
  <c r="D205" i="4"/>
  <c r="D206" i="4"/>
  <c r="D207" i="4"/>
  <c r="D208" i="4"/>
  <c r="D209" i="4"/>
  <c r="D210" i="4"/>
  <c r="D211" i="4"/>
  <c r="E211" i="4"/>
  <c r="D212" i="4"/>
  <c r="D213" i="4"/>
  <c r="E213" i="4"/>
  <c r="D214" i="4"/>
  <c r="D215" i="4"/>
  <c r="E215" i="4"/>
  <c r="D216" i="4"/>
  <c r="D217" i="4"/>
  <c r="D218" i="4"/>
  <c r="D219" i="4"/>
  <c r="D220" i="4"/>
  <c r="D221" i="4"/>
  <c r="E221" i="4"/>
  <c r="D222" i="4"/>
  <c r="D223" i="4"/>
  <c r="E223" i="4"/>
  <c r="D224" i="4"/>
  <c r="D225" i="4"/>
  <c r="E225" i="4"/>
  <c r="D226" i="4"/>
  <c r="D227" i="4"/>
  <c r="E227" i="4"/>
  <c r="D228" i="4"/>
  <c r="D229" i="4"/>
  <c r="D230" i="4"/>
  <c r="D231" i="4"/>
  <c r="E231" i="4"/>
  <c r="D232" i="4"/>
  <c r="D233" i="4"/>
  <c r="E233" i="4"/>
  <c r="D234" i="4"/>
  <c r="D235" i="4"/>
  <c r="E235" i="4"/>
  <c r="D236" i="4"/>
  <c r="D237" i="4"/>
  <c r="D238" i="4"/>
  <c r="D239" i="4"/>
  <c r="E239" i="4"/>
  <c r="D240" i="4"/>
  <c r="D241" i="4"/>
  <c r="E241" i="4"/>
  <c r="D242" i="4"/>
  <c r="D243" i="4"/>
  <c r="E243" i="4"/>
  <c r="D244" i="4"/>
  <c r="D245" i="4"/>
  <c r="E245" i="4"/>
  <c r="D246" i="4"/>
  <c r="E246" i="4"/>
  <c r="D247" i="4"/>
  <c r="D248" i="4"/>
  <c r="D249" i="4"/>
  <c r="D250" i="4"/>
  <c r="E250" i="4"/>
  <c r="D251" i="4"/>
  <c r="D252" i="4"/>
  <c r="D253" i="4"/>
  <c r="D254" i="4"/>
  <c r="D255" i="4"/>
  <c r="E255" i="4"/>
  <c r="D256" i="4"/>
  <c r="D257" i="4"/>
  <c r="D258" i="4"/>
  <c r="E258" i="4"/>
  <c r="D259" i="4"/>
  <c r="E259" i="4"/>
  <c r="D260" i="4"/>
  <c r="D261" i="4"/>
  <c r="D262" i="4"/>
  <c r="D263" i="4"/>
  <c r="E263" i="4"/>
  <c r="D264" i="4"/>
  <c r="D265" i="4"/>
  <c r="D266" i="4"/>
  <c r="D267" i="4"/>
  <c r="E267" i="4"/>
  <c r="D268" i="4"/>
  <c r="D269" i="4"/>
  <c r="D270" i="4"/>
  <c r="D271" i="4"/>
  <c r="D272" i="4"/>
  <c r="D273" i="4"/>
  <c r="D274" i="4"/>
  <c r="D276" i="4"/>
  <c r="E276" i="4"/>
  <c r="D277" i="4"/>
  <c r="D278" i="4"/>
  <c r="D279" i="4"/>
  <c r="E279" i="4"/>
  <c r="D280" i="4"/>
  <c r="E280" i="4"/>
  <c r="D281" i="4"/>
  <c r="D282" i="4"/>
  <c r="D283" i="4"/>
  <c r="E283" i="4"/>
  <c r="D284" i="4"/>
  <c r="E284" i="4"/>
  <c r="D285" i="4"/>
  <c r="D286" i="4"/>
  <c r="D287" i="4"/>
  <c r="E287" i="4"/>
  <c r="D288" i="4"/>
  <c r="D289" i="4"/>
  <c r="D290" i="4"/>
  <c r="D291" i="4"/>
  <c r="D292" i="4"/>
  <c r="D294" i="4"/>
  <c r="D295" i="4"/>
  <c r="E295" i="4"/>
  <c r="D296" i="4"/>
  <c r="D297" i="4"/>
  <c r="D298" i="4"/>
  <c r="E298" i="4"/>
  <c r="D299" i="4"/>
  <c r="D300" i="4"/>
  <c r="D301" i="4"/>
  <c r="E301" i="4"/>
  <c r="D302" i="4"/>
  <c r="D303" i="4"/>
  <c r="D304" i="4"/>
  <c r="E304" i="4"/>
  <c r="D305" i="4"/>
  <c r="E305" i="4"/>
  <c r="D306" i="4"/>
  <c r="D307" i="4"/>
  <c r="D308" i="4"/>
  <c r="D309" i="4"/>
  <c r="D310" i="4"/>
  <c r="D311" i="4"/>
  <c r="D312" i="4"/>
  <c r="E312" i="4"/>
  <c r="D313" i="4"/>
  <c r="E313" i="4"/>
  <c r="D314" i="4"/>
  <c r="E314" i="4"/>
  <c r="D315" i="4"/>
  <c r="D316" i="4"/>
  <c r="D317" i="4"/>
  <c r="D318" i="4"/>
  <c r="E318" i="4"/>
  <c r="D319" i="4"/>
  <c r="D320" i="4"/>
  <c r="D321" i="4"/>
  <c r="E321" i="4"/>
  <c r="D322" i="4"/>
  <c r="E322" i="4"/>
  <c r="D323" i="4"/>
  <c r="D324" i="4"/>
  <c r="D325" i="4"/>
  <c r="E325" i="4"/>
  <c r="D326" i="4"/>
  <c r="E326" i="4"/>
  <c r="D327" i="4"/>
  <c r="E327" i="4"/>
  <c r="D328" i="4"/>
  <c r="D329" i="4"/>
  <c r="D330" i="4"/>
  <c r="D332" i="4"/>
  <c r="D333" i="4"/>
  <c r="D334" i="4"/>
  <c r="E334" i="4"/>
  <c r="D335" i="4"/>
  <c r="D336" i="4"/>
  <c r="D337" i="4"/>
  <c r="D338" i="4"/>
  <c r="E338" i="4"/>
  <c r="D339" i="4"/>
  <c r="E339" i="4"/>
  <c r="D340" i="4"/>
  <c r="D341" i="4"/>
  <c r="D342" i="4"/>
  <c r="D343" i="4"/>
  <c r="E343" i="4"/>
  <c r="D344" i="4"/>
  <c r="D3" i="4"/>
  <c r="C156" i="4"/>
  <c r="M355" i="4"/>
  <c r="O355" i="4"/>
  <c r="P355" i="4"/>
  <c r="Q355" i="4"/>
  <c r="T355" i="4"/>
  <c r="U355" i="4"/>
  <c r="Y355" i="4"/>
  <c r="AE355" i="4"/>
  <c r="AF355" i="4"/>
  <c r="AG355" i="4"/>
  <c r="AH355" i="4"/>
  <c r="AN355" i="4"/>
  <c r="J355" i="4"/>
  <c r="M354" i="4"/>
  <c r="O354" i="4"/>
  <c r="P354" i="4"/>
  <c r="Q354" i="4"/>
  <c r="T354" i="4"/>
  <c r="U354" i="4"/>
  <c r="Y354" i="4"/>
  <c r="AE354" i="4"/>
  <c r="AF354" i="4"/>
  <c r="AG354" i="4"/>
  <c r="AH354" i="4"/>
  <c r="AN354" i="4"/>
  <c r="J354" i="4"/>
  <c r="AE353" i="4"/>
  <c r="E148" i="4"/>
  <c r="C354" i="4"/>
  <c r="E196" i="4"/>
  <c r="E87" i="4"/>
  <c r="E83" i="4"/>
  <c r="E274" i="4"/>
  <c r="E270" i="4"/>
  <c r="E303" i="4"/>
  <c r="E299" i="4"/>
  <c r="E290" i="4"/>
  <c r="E286" i="4"/>
  <c r="E282" i="4"/>
  <c r="E261" i="4"/>
  <c r="E257" i="4"/>
  <c r="E59" i="4"/>
  <c r="E329" i="4"/>
  <c r="E297" i="4"/>
  <c r="E251" i="4"/>
  <c r="E247" i="4"/>
  <c r="E187" i="4"/>
  <c r="E183" i="4"/>
  <c r="E179" i="4"/>
  <c r="E175" i="4"/>
  <c r="E134" i="4"/>
  <c r="E337" i="4"/>
  <c r="E333" i="4"/>
  <c r="E320" i="4"/>
  <c r="E242" i="4"/>
  <c r="E234" i="4"/>
  <c r="E230" i="4"/>
  <c r="E226" i="4"/>
  <c r="E222" i="4"/>
  <c r="E218" i="4"/>
  <c r="E214" i="4"/>
  <c r="E209" i="4"/>
  <c r="E205" i="4"/>
  <c r="E85" i="4"/>
  <c r="E77" i="4"/>
  <c r="E7" i="4"/>
  <c r="Q357" i="4"/>
  <c r="P357" i="4"/>
  <c r="O357" i="4"/>
  <c r="C355" i="4"/>
  <c r="E311" i="4"/>
  <c r="E307" i="4"/>
  <c r="E273" i="4"/>
  <c r="E269" i="4"/>
  <c r="E193" i="4"/>
  <c r="E189" i="4"/>
  <c r="E185" i="4"/>
  <c r="E181" i="4"/>
  <c r="E177" i="4"/>
  <c r="E165" i="4"/>
  <c r="E157" i="4"/>
  <c r="E29" i="4"/>
  <c r="E13" i="4"/>
  <c r="E306" i="4"/>
  <c r="E302" i="4"/>
  <c r="E285" i="4"/>
  <c r="E281" i="4"/>
  <c r="E260" i="4"/>
  <c r="E256" i="4"/>
  <c r="E252" i="4"/>
  <c r="E244" i="4"/>
  <c r="E240" i="4"/>
  <c r="E236" i="4"/>
  <c r="E232" i="4"/>
  <c r="E224" i="4"/>
  <c r="E208" i="4"/>
  <c r="E204" i="4"/>
  <c r="E147" i="4"/>
  <c r="E135" i="4"/>
  <c r="E112" i="4"/>
  <c r="E104" i="4"/>
  <c r="E84" i="4"/>
  <c r="E80" i="4"/>
  <c r="E3" i="4"/>
  <c r="E328" i="4"/>
  <c r="E210" i="4"/>
  <c r="E129" i="4"/>
  <c r="E121" i="4"/>
  <c r="E110" i="4"/>
  <c r="E94" i="4"/>
  <c r="E74" i="4"/>
  <c r="E70" i="4"/>
  <c r="E50" i="4"/>
  <c r="E34" i="4"/>
  <c r="E22" i="4"/>
  <c r="E10" i="4"/>
  <c r="C346" i="4"/>
  <c r="E344" i="4"/>
  <c r="E332" i="4"/>
  <c r="E319" i="4"/>
  <c r="E41" i="4"/>
  <c r="E310" i="4"/>
  <c r="E272" i="4"/>
  <c r="E264" i="4"/>
  <c r="E192" i="4"/>
  <c r="E184" i="4"/>
  <c r="E176" i="4"/>
  <c r="E168" i="4"/>
  <c r="E160" i="4"/>
  <c r="E48" i="4"/>
  <c r="E36" i="4"/>
  <c r="E32" i="4"/>
  <c r="E24" i="4"/>
  <c r="E20" i="4"/>
  <c r="E11" i="4"/>
  <c r="E23" i="4"/>
  <c r="E27" i="4"/>
  <c r="E31" i="4"/>
  <c r="E54" i="4"/>
  <c r="E66" i="4"/>
  <c r="E78" i="4"/>
  <c r="E82" i="4"/>
  <c r="E60" i="4"/>
  <c r="E95" i="4"/>
  <c r="E99" i="4"/>
  <c r="E103" i="4"/>
  <c r="E107" i="4"/>
  <c r="E111" i="4"/>
  <c r="E118" i="4"/>
  <c r="E130" i="4"/>
  <c r="E139" i="4"/>
  <c r="E143" i="4"/>
  <c r="E198" i="4"/>
  <c r="E203" i="4"/>
  <c r="E207" i="4"/>
  <c r="E212" i="4"/>
  <c r="E216" i="4"/>
  <c r="E220" i="4"/>
  <c r="E228" i="4"/>
  <c r="E248" i="4"/>
  <c r="E277" i="4"/>
  <c r="E289" i="4"/>
  <c r="E49" i="4"/>
  <c r="E69" i="4"/>
  <c r="E81" i="4"/>
  <c r="E161" i="4"/>
  <c r="E173" i="4"/>
  <c r="E323" i="4"/>
  <c r="E336" i="4"/>
  <c r="E8" i="4"/>
  <c r="E16" i="4"/>
  <c r="E56" i="4"/>
  <c r="E61" i="4"/>
  <c r="E88" i="4"/>
  <c r="E96" i="4"/>
  <c r="E123" i="4"/>
  <c r="E65" i="4"/>
  <c r="E152" i="4"/>
  <c r="E169" i="4"/>
  <c r="E265" i="4"/>
  <c r="E315" i="4"/>
  <c r="E340" i="4"/>
  <c r="E4" i="4"/>
  <c r="E12" i="4"/>
  <c r="E28" i="4"/>
  <c r="E45" i="4"/>
  <c r="E92" i="4"/>
  <c r="E100" i="4"/>
  <c r="E108" i="4"/>
  <c r="E119" i="4"/>
  <c r="E6" i="4"/>
  <c r="E14" i="4"/>
  <c r="E18" i="4"/>
  <c r="E26" i="4"/>
  <c r="E30" i="4"/>
  <c r="E38" i="4"/>
  <c r="E43" i="4"/>
  <c r="E64" i="4"/>
  <c r="E68" i="4"/>
  <c r="E76" i="4"/>
  <c r="E90" i="4"/>
  <c r="E98" i="4"/>
  <c r="E102" i="4"/>
  <c r="E106" i="4"/>
  <c r="E114" i="4"/>
  <c r="E117" i="4"/>
  <c r="E125" i="4"/>
  <c r="E138" i="4"/>
  <c r="E142" i="4"/>
  <c r="E146" i="4"/>
  <c r="E150" i="4"/>
  <c r="E155" i="4"/>
  <c r="E164" i="4"/>
  <c r="E172" i="4"/>
  <c r="E180" i="4"/>
  <c r="E188" i="4"/>
  <c r="E197" i="4"/>
  <c r="E201" i="4"/>
  <c r="E206" i="4"/>
  <c r="E219" i="4"/>
  <c r="E268" i="4"/>
  <c r="E288" i="4"/>
  <c r="E292" i="4"/>
  <c r="E296" i="4"/>
  <c r="E309" i="4"/>
  <c r="E335" i="4"/>
  <c r="E127" i="4"/>
  <c r="E132" i="4"/>
  <c r="E136" i="4"/>
  <c r="E140" i="4"/>
  <c r="E144" i="4"/>
  <c r="E162" i="4"/>
  <c r="E170" i="4"/>
  <c r="E182" i="4"/>
  <c r="E186" i="4"/>
  <c r="E190" i="4"/>
  <c r="E195" i="4"/>
  <c r="E217" i="4"/>
  <c r="E229" i="4"/>
  <c r="E237" i="4"/>
  <c r="E249" i="4"/>
  <c r="E253" i="4"/>
  <c r="E266" i="4"/>
  <c r="E278" i="4"/>
  <c r="E294" i="4"/>
  <c r="E316" i="4"/>
  <c r="E324" i="4"/>
  <c r="E341" i="4"/>
  <c r="E5" i="4"/>
  <c r="E9" i="4"/>
  <c r="E17" i="4"/>
  <c r="E21" i="4"/>
  <c r="E25" i="4"/>
  <c r="E33" i="4"/>
  <c r="E37" i="4"/>
  <c r="E46" i="4"/>
  <c r="E51" i="4"/>
  <c r="E57" i="4"/>
  <c r="E63" i="4"/>
  <c r="E67" i="4"/>
  <c r="E71" i="4"/>
  <c r="E75" i="4"/>
  <c r="E79" i="4"/>
  <c r="E86" i="4"/>
  <c r="E89" i="4"/>
  <c r="E93" i="4"/>
  <c r="E109" i="4"/>
  <c r="E113" i="4"/>
  <c r="E116" i="4"/>
  <c r="E120" i="4"/>
  <c r="E128" i="4"/>
  <c r="E137" i="4"/>
  <c r="E154" i="4"/>
  <c r="E167" i="4"/>
  <c r="E191" i="4"/>
  <c r="E200" i="4"/>
  <c r="E238" i="4"/>
  <c r="E254" i="4"/>
  <c r="E262" i="4"/>
  <c r="E271" i="4"/>
  <c r="E291" i="4"/>
  <c r="E300" i="4"/>
  <c r="E308" i="4"/>
  <c r="E317" i="4"/>
  <c r="E330" i="4"/>
  <c r="E342" i="4"/>
  <c r="E15" i="4"/>
  <c r="AK329" i="4"/>
  <c r="AM248" i="4"/>
  <c r="AV245" i="4"/>
  <c r="AV243" i="4"/>
  <c r="AV227" i="4"/>
  <c r="AV226" i="4"/>
  <c r="AB384" i="4"/>
  <c r="R46" i="4"/>
  <c r="R41" i="4"/>
  <c r="V30" i="4"/>
  <c r="V359" i="4"/>
  <c r="V354" i="4"/>
  <c r="V355" i="4"/>
  <c r="W355" i="4"/>
  <c r="W354" i="4"/>
  <c r="X354" i="4"/>
  <c r="L303" i="4"/>
  <c r="L301" i="4"/>
  <c r="AI339" i="4"/>
  <c r="AC339" i="4"/>
  <c r="AI314" i="4"/>
  <c r="AC314" i="4"/>
  <c r="AI311" i="4"/>
  <c r="AC311" i="4"/>
  <c r="AC297" i="4"/>
  <c r="AI274" i="4"/>
  <c r="AC272" i="4"/>
  <c r="X355" i="4"/>
  <c r="AM331" i="4"/>
  <c r="D331" i="4"/>
  <c r="E331" i="4"/>
  <c r="AM293" i="4"/>
  <c r="Z293" i="4"/>
  <c r="D293" i="4"/>
  <c r="AM156" i="4"/>
  <c r="Z156" i="4"/>
  <c r="R156" i="4"/>
  <c r="AK333" i="4"/>
  <c r="AI333" i="4"/>
  <c r="AB330" i="4"/>
  <c r="AI321" i="4"/>
  <c r="AK320" i="4"/>
  <c r="AI320" i="4"/>
  <c r="AK318" i="4"/>
  <c r="AI318" i="4"/>
  <c r="AI291" i="4"/>
  <c r="AI289" i="4"/>
  <c r="R287" i="4"/>
  <c r="R285" i="4"/>
  <c r="R282" i="4"/>
  <c r="AK277" i="4"/>
  <c r="AI277" i="4"/>
  <c r="AM275" i="4"/>
  <c r="Z275" i="4"/>
  <c r="D275" i="4"/>
  <c r="E275" i="4"/>
  <c r="AI250" i="4"/>
  <c r="AC249" i="4"/>
  <c r="R164" i="4"/>
  <c r="AI162" i="4"/>
  <c r="AC161" i="4"/>
  <c r="AC359" i="4"/>
  <c r="AI160" i="4"/>
  <c r="AI184" i="4"/>
  <c r="R185" i="4"/>
  <c r="AK359" i="4"/>
  <c r="D156" i="4"/>
  <c r="D355" i="4"/>
  <c r="Z359" i="4"/>
  <c r="AK346" i="4"/>
  <c r="E293" i="4"/>
  <c r="AK355" i="4"/>
  <c r="AC354" i="4"/>
  <c r="AC355" i="4"/>
  <c r="Z355" i="4"/>
  <c r="Z354" i="4"/>
  <c r="AK354" i="4"/>
  <c r="T357" i="4"/>
  <c r="AQ349" i="4"/>
  <c r="AQ351" i="4"/>
  <c r="AP349" i="4"/>
  <c r="AP351" i="4"/>
  <c r="AH346" i="4"/>
  <c r="AG346" i="4"/>
  <c r="AF346" i="4"/>
  <c r="AE346" i="4"/>
  <c r="X346" i="4"/>
  <c r="Q346" i="4"/>
  <c r="P346" i="4"/>
  <c r="O346" i="4"/>
  <c r="J346" i="4"/>
  <c r="AV341" i="4"/>
  <c r="AV338" i="4"/>
  <c r="AV331" i="4"/>
  <c r="AV327" i="4"/>
  <c r="AV319" i="4"/>
  <c r="AI315" i="4"/>
  <c r="AV311" i="4"/>
  <c r="AV310" i="4"/>
  <c r="N303" i="4"/>
  <c r="AB300" i="4"/>
  <c r="AV298" i="4"/>
  <c r="AM298" i="4"/>
  <c r="AV293" i="4"/>
  <c r="AV289" i="4"/>
  <c r="AV282" i="4"/>
  <c r="AV276" i="4"/>
  <c r="AV275" i="4"/>
  <c r="R266" i="4"/>
  <c r="AV265" i="4"/>
  <c r="AV260" i="4"/>
  <c r="AV259" i="4"/>
  <c r="AB258" i="4"/>
  <c r="AV224" i="4"/>
  <c r="R219" i="4"/>
  <c r="AI218" i="4"/>
  <c r="AM215" i="4"/>
  <c r="R210" i="4"/>
  <c r="R209" i="4"/>
  <c r="L209" i="4"/>
  <c r="R207" i="4"/>
  <c r="R206" i="4"/>
  <c r="AV196" i="4"/>
  <c r="AM196" i="4"/>
  <c r="AC346" i="4"/>
  <c r="Z346" i="4"/>
  <c r="R146" i="4"/>
  <c r="AV135" i="4"/>
  <c r="R135" i="4"/>
  <c r="R121" i="4"/>
  <c r="AV107" i="4"/>
  <c r="AV104" i="4"/>
  <c r="AV84" i="4"/>
  <c r="AV77" i="4"/>
  <c r="AV68" i="4"/>
  <c r="AV66" i="4"/>
  <c r="AB55" i="4"/>
  <c r="AB359" i="4"/>
  <c r="V346" i="4"/>
  <c r="R29" i="4"/>
  <c r="R28" i="4"/>
  <c r="R23" i="4"/>
  <c r="AV16" i="4"/>
  <c r="AI16" i="4"/>
  <c r="R6" i="4"/>
  <c r="AV3" i="4"/>
  <c r="J357" i="4"/>
  <c r="D354" i="4"/>
  <c r="AM355" i="4"/>
  <c r="E156" i="4"/>
  <c r="E355" i="4"/>
  <c r="D346" i="4"/>
  <c r="R355" i="4"/>
  <c r="R359" i="4"/>
  <c r="AM346" i="4"/>
  <c r="X357" i="4"/>
  <c r="L355" i="4"/>
  <c r="L359" i="4"/>
  <c r="N355" i="4"/>
  <c r="N359" i="4"/>
  <c r="AM359" i="4"/>
  <c r="AI359" i="4"/>
  <c r="G354" i="4"/>
  <c r="AB355" i="4"/>
  <c r="AI355" i="4"/>
  <c r="R354" i="4"/>
  <c r="AM354" i="4"/>
  <c r="Z353" i="4"/>
  <c r="L346" i="4"/>
  <c r="L354" i="4"/>
  <c r="N346" i="4"/>
  <c r="N354" i="4"/>
  <c r="AB354" i="4"/>
  <c r="AI354" i="4"/>
  <c r="AI346" i="4"/>
  <c r="R346" i="4"/>
  <c r="J349" i="4"/>
  <c r="J351" i="4"/>
  <c r="AB346" i="4"/>
  <c r="X348" i="4"/>
  <c r="R353" i="4"/>
  <c r="E346" i="4"/>
  <c r="E354" i="4"/>
  <c r="AD356" i="4"/>
  <c r="AI353" i="4"/>
  <c r="N357" i="4"/>
  <c r="N353" i="4"/>
  <c r="X349" i="4"/>
  <c r="AC347" i="4"/>
  <c r="AB348" i="4"/>
  <c r="M356" i="4"/>
  <c r="R347" i="4"/>
  <c r="AO349" i="4"/>
  <c r="M357" i="4"/>
</calcChain>
</file>

<file path=xl/sharedStrings.xml><?xml version="1.0" encoding="utf-8"?>
<sst xmlns="http://schemas.openxmlformats.org/spreadsheetml/2006/main" count="5356" uniqueCount="1842">
  <si>
    <t>2024 -2030</t>
  </si>
  <si>
    <t>2021-2023</t>
  </si>
  <si>
    <t>TÚ</t>
  </si>
  <si>
    <t>Kilometráž</t>
  </si>
  <si>
    <t>RP SŽG</t>
  </si>
  <si>
    <t>Název TÚ pro VZ1</t>
  </si>
  <si>
    <t>Název TÚ pro VZ2</t>
  </si>
  <si>
    <t>rozsah trakce</t>
  </si>
  <si>
    <t>rozsah pro dostabilizaci ŽBP</t>
  </si>
  <si>
    <t>počet stabilizací ŽBP (včetně těžké)</t>
  </si>
  <si>
    <t>počet těžké stabilizace</t>
  </si>
  <si>
    <t>OTZ počet ks (pouze s novou stabilizací)</t>
  </si>
  <si>
    <t>Oprava stabilizace</t>
  </si>
  <si>
    <t>měření ihned</t>
  </si>
  <si>
    <t>oprava stabilizace</t>
  </si>
  <si>
    <t>nezmapované stanice ks/ha</t>
  </si>
  <si>
    <t>ŽBP Nově určované (ks)</t>
  </si>
  <si>
    <t>ŽBP ověřované měřením (ks)</t>
  </si>
  <si>
    <t>ROK konec ŽBP max</t>
  </si>
  <si>
    <t>ROK konec reambulace MAP max/ nové MAP</t>
  </si>
  <si>
    <t>stanice od km</t>
  </si>
  <si>
    <t>stanice do km (M12)</t>
  </si>
  <si>
    <t>stanice délka km</t>
  </si>
  <si>
    <t>stanice (ha)</t>
  </si>
  <si>
    <t>nad 50 ha</t>
  </si>
  <si>
    <t>0101</t>
  </si>
  <si>
    <t>PHA/UNL</t>
  </si>
  <si>
    <t>Praha-Bubny (mimo) - Chomutov-záp.zhlaví (mimo) včetně žst. Žatec</t>
  </si>
  <si>
    <t>101-116</t>
  </si>
  <si>
    <t>0,672-72,170 72,170-97,600 105,580-112,240 114,986-117,116 0,000-7,109 122,364-124,294</t>
  </si>
  <si>
    <t xml:space="preserve"> 97,600-105,580 112,240-114,986</t>
  </si>
  <si>
    <t>n. Trnovany/7ha
ŽST Žatec/14ha</t>
  </si>
  <si>
    <t>2021/22</t>
  </si>
  <si>
    <t>2023/2024-30</t>
  </si>
  <si>
    <t>0102</t>
  </si>
  <si>
    <t>1,075 - 5,707</t>
  </si>
  <si>
    <t>UNL</t>
  </si>
  <si>
    <t>Droužkovice (mimo) - Dubina (mimo)</t>
  </si>
  <si>
    <t>1,075-5,707</t>
  </si>
  <si>
    <t>2023</t>
  </si>
  <si>
    <t>0112</t>
  </si>
  <si>
    <t>126,192 - 236,299</t>
  </si>
  <si>
    <t>UNL/PLZ</t>
  </si>
  <si>
    <t>Chomutov-záp.zhlaví (mimo) - Cheb (mimo)</t>
  </si>
  <si>
    <t>126,192-140,000 141,140-144,732 144,732-236,299</t>
  </si>
  <si>
    <t>0121</t>
  </si>
  <si>
    <t>0,509 - 20,955</t>
  </si>
  <si>
    <t>PLZ</t>
  </si>
  <si>
    <t>Tršnice (mimo) - Luby u Chebu (včetně)</t>
  </si>
  <si>
    <t>0,509- 0,609</t>
  </si>
  <si>
    <t>0,509-20,955</t>
  </si>
  <si>
    <t>2024-2030</t>
  </si>
  <si>
    <t>0131</t>
  </si>
  <si>
    <t>0,574 - 27,452</t>
  </si>
  <si>
    <t>Sokolov-os.n. (mimo) - Kraslice st.hr.</t>
  </si>
  <si>
    <t>0,574-27,452</t>
  </si>
  <si>
    <t>0141</t>
  </si>
  <si>
    <t>5,212 - 46,199</t>
  </si>
  <si>
    <t>Karlovy Vary - Sedlec - Potůčky st.hr.</t>
  </si>
  <si>
    <t>5,212-46,199</t>
  </si>
  <si>
    <t>0</t>
  </si>
  <si>
    <t>2024-30</t>
  </si>
  <si>
    <t>0151</t>
  </si>
  <si>
    <t>0,040 - 10,325</t>
  </si>
  <si>
    <t>Merklín (včetně) - Dalovice (mimo)</t>
  </si>
  <si>
    <t>0,040-10,325</t>
  </si>
  <si>
    <t>0161</t>
  </si>
  <si>
    <t>0,198 - 12,218</t>
  </si>
  <si>
    <t>PHA</t>
  </si>
  <si>
    <t>Krupá (mimo) - Kolešovice (včetně)</t>
  </si>
  <si>
    <t>0,198-12,218</t>
  </si>
  <si>
    <t>0,3 - 11,8</t>
  </si>
  <si>
    <t>0171</t>
  </si>
  <si>
    <t>0,315 - 8,707</t>
  </si>
  <si>
    <t>Lužná u Rakovníka (mimo) - Rakovník (mimo)</t>
  </si>
  <si>
    <t>0,315-8,707</t>
  </si>
  <si>
    <t>1,1 - 8,3</t>
  </si>
  <si>
    <t>0181</t>
  </si>
  <si>
    <t>0,402 - 3,724</t>
  </si>
  <si>
    <t>Tršnice (mimo) - Františkovy Lázně (mimo)</t>
  </si>
  <si>
    <t>0,402-3,724</t>
  </si>
  <si>
    <t>0191</t>
  </si>
  <si>
    <t>0,418 - 6,263</t>
  </si>
  <si>
    <t>Chodov-staniční kolejiště (mimo) - Nová Role (mimo)</t>
  </si>
  <si>
    <t>0,418-6,263</t>
  </si>
  <si>
    <t>2023/2024</t>
  </si>
  <si>
    <t>0201</t>
  </si>
  <si>
    <t>0,431 - 3,946</t>
  </si>
  <si>
    <t>Praha hl.n. (mimo) - Praha-Vyšehrad (včetně)</t>
  </si>
  <si>
    <t>0,431-3,946</t>
  </si>
  <si>
    <t>2,0 - 3,5</t>
  </si>
  <si>
    <t>0202</t>
  </si>
  <si>
    <t>3,946 - 110,199</t>
  </si>
  <si>
    <t>PHA/PLZ</t>
  </si>
  <si>
    <t>Praha-Vyšehrad (mimo) - Plz.hl.n.-os.n.(včet.bez seř.n.)</t>
  </si>
  <si>
    <t>0203</t>
  </si>
  <si>
    <t>349,647 - 456,007</t>
  </si>
  <si>
    <t>Plzeň hl.n.-os.n. (mimo) - Cheb (včetně žst.)</t>
  </si>
  <si>
    <t>349,647-453,640</t>
  </si>
  <si>
    <t>453,640-456,007</t>
  </si>
  <si>
    <t>žst. Cheb / 68 ha</t>
  </si>
  <si>
    <t>0204</t>
  </si>
  <si>
    <t>140,587 - 150,539</t>
  </si>
  <si>
    <t>Cheb st.hr. - Cheb (mimo)</t>
  </si>
  <si>
    <t>140,587-150,539</t>
  </si>
  <si>
    <t>0206</t>
  </si>
  <si>
    <t>1,800 - 14,492</t>
  </si>
  <si>
    <t>Praha-Vršovice seř.n.-č.kol. (mimo) - Praha-Radotín (mimo) (vj.kol.)</t>
  </si>
  <si>
    <t>1,800-14,492</t>
  </si>
  <si>
    <t>1,7 - 13,3</t>
  </si>
  <si>
    <t>0207</t>
  </si>
  <si>
    <t>10,691 - 14,448</t>
  </si>
  <si>
    <t>Tunel (mimo) - Praha-Radotín (mimo) (odj.kol.)</t>
  </si>
  <si>
    <t>10,691-14,448</t>
  </si>
  <si>
    <t>0211</t>
  </si>
  <si>
    <t>51,325 - 73,615</t>
  </si>
  <si>
    <t>Vojtanov st.hr. - Cheb (mimo)</t>
  </si>
  <si>
    <t>59,4- 73,615</t>
  </si>
  <si>
    <t>53,400 -73,615</t>
  </si>
  <si>
    <t>51,325-53,400</t>
  </si>
  <si>
    <t>0221</t>
  </si>
  <si>
    <t>7,213 - 29,585</t>
  </si>
  <si>
    <t>Františkovy Lázně (mimo) - Aš st.hr.</t>
  </si>
  <si>
    <t xml:space="preserve"> </t>
  </si>
  <si>
    <t>7,213-29,585</t>
  </si>
  <si>
    <t>0222</t>
  </si>
  <si>
    <t>0,068 - 15,898</t>
  </si>
  <si>
    <t>Aš (mimo) - Hranice v Čechách (včetně)</t>
  </si>
  <si>
    <t>0,068-15,898</t>
  </si>
  <si>
    <t>0241</t>
  </si>
  <si>
    <t>0,389 - 53,552</t>
  </si>
  <si>
    <t>Mariánské Lázně (mimo) - Karlovy Vary dol.n. (včetně)</t>
  </si>
  <si>
    <t>0,389-53,552</t>
  </si>
  <si>
    <t>17,2 - 51,6</t>
  </si>
  <si>
    <t>0,389-17,2; 51,6-53,552</t>
  </si>
  <si>
    <t>2025-2030</t>
  </si>
  <si>
    <t>0242</t>
  </si>
  <si>
    <t>0,276 - 2,617</t>
  </si>
  <si>
    <t>Karlovy Vary dol.n. (mimo) - Karlovy Vary (mimo)</t>
  </si>
  <si>
    <t>0,276-2,617</t>
  </si>
  <si>
    <t>0251</t>
  </si>
  <si>
    <t>0,203 - 18,086</t>
  </si>
  <si>
    <t>Krásný Jez (mimo) - Nové Sedlo u Lokte (mimo)</t>
  </si>
  <si>
    <t>0,203-18,086</t>
  </si>
  <si>
    <t>2021</t>
  </si>
  <si>
    <t>0252</t>
  </si>
  <si>
    <t>19,592 - 20,938</t>
  </si>
  <si>
    <t>Nové Sedlo u Lokte (mimo) - Chodov-staniční kolejiště (mimo)</t>
  </si>
  <si>
    <t>19,592-20,938</t>
  </si>
  <si>
    <t>0261</t>
  </si>
  <si>
    <t>0,376 - 24,087</t>
  </si>
  <si>
    <t>Pňovany (mimo) - Bezdružice (včetně)</t>
  </si>
  <si>
    <t>0,376-24,087</t>
  </si>
  <si>
    <t>0271</t>
  </si>
  <si>
    <t>5,249 - 19,969</t>
  </si>
  <si>
    <t>Ejpovice (mimo) - Stupno (včetně)</t>
  </si>
  <si>
    <t>5,249-19,969</t>
  </si>
  <si>
    <t>0272</t>
  </si>
  <si>
    <t>0,237 - 6,809</t>
  </si>
  <si>
    <t>Stupno (mimo) - Radnice (včetně)</t>
  </si>
  <si>
    <t>0,237-6,809</t>
  </si>
  <si>
    <t>0281</t>
  </si>
  <si>
    <t>0,022 - 101,354</t>
  </si>
  <si>
    <t>CBE/PHA</t>
  </si>
  <si>
    <t>Protivín (mimo) - Zdice (mimo)</t>
  </si>
  <si>
    <t>0,022 - 13,5</t>
  </si>
  <si>
    <t>0291</t>
  </si>
  <si>
    <t>0,076 - 26,350</t>
  </si>
  <si>
    <t>Zadní Třebaň (mimo) - Lochovice (mimo)</t>
  </si>
  <si>
    <t>0,076-26,350</t>
  </si>
  <si>
    <t>0301</t>
  </si>
  <si>
    <t>111,772 - 184,102</t>
  </si>
  <si>
    <t>Plzeň-Jižní Předměstí (mimo) - Furth i.Wald (DBAG) (část)</t>
  </si>
  <si>
    <t>111,772-184,102</t>
  </si>
  <si>
    <t>0311</t>
  </si>
  <si>
    <t>0,112 - 9,669</t>
  </si>
  <si>
    <t>Nýřany (mimo) - Heřmanova Huť (včetně)</t>
  </si>
  <si>
    <t>0,112-9,669</t>
  </si>
  <si>
    <t>0321</t>
  </si>
  <si>
    <t>0,165 - 19,076</t>
  </si>
  <si>
    <t>Staňkov (mimo) - Poběžovice (mimo)</t>
  </si>
  <si>
    <t>0,165-19,076</t>
  </si>
  <si>
    <t>0331</t>
  </si>
  <si>
    <t>5,899 - 75,297</t>
  </si>
  <si>
    <t>Havlovice (včetně) (býv.Paseč.mimo) - Tachov (mimo)</t>
  </si>
  <si>
    <t>5,899-75,297</t>
  </si>
  <si>
    <t>0332</t>
  </si>
  <si>
    <t>0,027 - 11,922</t>
  </si>
  <si>
    <t>Planá u Mar.Lázní (mimo) - Tachov (včetně)</t>
  </si>
  <si>
    <t>0,027-11,922</t>
  </si>
  <si>
    <t>0341</t>
  </si>
  <si>
    <t>0,132 - 14,904</t>
  </si>
  <si>
    <t>Svojšín (mimo) - Bor (mimo)</t>
  </si>
  <si>
    <t>0,132-14,904</t>
  </si>
  <si>
    <t>0351</t>
  </si>
  <si>
    <t>0,727 - 30,875</t>
  </si>
  <si>
    <t>Janovice nad Úhlavou (mimo) - Domažlice (mimo)</t>
  </si>
  <si>
    <t>0,727-30,875</t>
  </si>
  <si>
    <t>1,4 - 30,6</t>
  </si>
  <si>
    <t>0361</t>
  </si>
  <si>
    <t>0,000 - 97,060</t>
  </si>
  <si>
    <t>Bayerische Eisenstein(DBAG)(včetně) - Plzeň hl.n.-os.n. (mimo)</t>
  </si>
  <si>
    <t>49,485-97,060</t>
  </si>
  <si>
    <t>0,000-49,485 49,485-97,060</t>
  </si>
  <si>
    <t>0371</t>
  </si>
  <si>
    <t>0,292 - 58,071</t>
  </si>
  <si>
    <t>Horažďovice předměstí (mimo) - Klatovy (mimo)</t>
  </si>
  <si>
    <t>0,292-58,071</t>
  </si>
  <si>
    <t>0381</t>
  </si>
  <si>
    <t>0,306 - 70,364</t>
  </si>
  <si>
    <t>CBE</t>
  </si>
  <si>
    <t>Strakonice (mimo) - Volary (mimo)</t>
  </si>
  <si>
    <t>0,306-70,364</t>
  </si>
  <si>
    <t>0,4 - 68,7</t>
  </si>
  <si>
    <t>0,306-0,4; 68,7-70,364</t>
  </si>
  <si>
    <t>0391</t>
  </si>
  <si>
    <t>0,650 - 27,398</t>
  </si>
  <si>
    <t>Rakovník (mimo) - Blatno u Jesenice (mimo)</t>
  </si>
  <si>
    <t>0,650-27,398</t>
  </si>
  <si>
    <t>0401</t>
  </si>
  <si>
    <t>163,100 - 347,302</t>
  </si>
  <si>
    <t>CBE/PLZ</t>
  </si>
  <si>
    <t>Gmünd NÖ (ÖBB) (část) - Plzeň hl.n.-os.n. (mimo)</t>
  </si>
  <si>
    <t>163,1-343,500</t>
  </si>
  <si>
    <t>0411</t>
  </si>
  <si>
    <t>0,027 - 26,589</t>
  </si>
  <si>
    <t>Rokycany (mimo) - Nezvěstice (mimo)</t>
  </si>
  <si>
    <t>0,027-26,589</t>
  </si>
  <si>
    <t>0421</t>
  </si>
  <si>
    <t>0,229 - 24,230</t>
  </si>
  <si>
    <t>Blatná (mimo) - Nepomuk (mimo)</t>
  </si>
  <si>
    <t>2023/2024-25</t>
  </si>
  <si>
    <t>0431</t>
  </si>
  <si>
    <t>0,234 - 49,117</t>
  </si>
  <si>
    <t>Březnice (mimo) - Strakonice (mimo)</t>
  </si>
  <si>
    <t>0,4 - 49,1</t>
  </si>
  <si>
    <t>0,234-0,4</t>
  </si>
  <si>
    <t>0441</t>
  </si>
  <si>
    <t>0,000 - 6,906</t>
  </si>
  <si>
    <t>Rožmitál pod Třemšínem (včetně) - Přední Poříčí (mimo)</t>
  </si>
  <si>
    <t>0,000-6,906</t>
  </si>
  <si>
    <t>0451</t>
  </si>
  <si>
    <t>0,246 - 2,624</t>
  </si>
  <si>
    <t>Putim (mimo) - Ražice (mimo)</t>
  </si>
  <si>
    <t>0,246-2,624</t>
  </si>
  <si>
    <t>0461</t>
  </si>
  <si>
    <t>0,455 - 69,981</t>
  </si>
  <si>
    <t>Číčenice (mimo) - Nové Údolí (včetně)</t>
  </si>
  <si>
    <t>0471</t>
  </si>
  <si>
    <t>0,629 - 21,582</t>
  </si>
  <si>
    <t>Číčenice (mimo) - Týn nad Vltavou (včetně)</t>
  </si>
  <si>
    <t>0,629 -4,460 12,453-13,4  20,500-21,582</t>
  </si>
  <si>
    <t>0,629-21,582</t>
  </si>
  <si>
    <t>4,460-12,453  13,4-20,500</t>
  </si>
  <si>
    <t>2023-2030</t>
  </si>
  <si>
    <t>0481</t>
  </si>
  <si>
    <t>0,471 - 13,785</t>
  </si>
  <si>
    <t>Dívčice (mimo) - Netolice (včetně)</t>
  </si>
  <si>
    <t>0,471-13,785</t>
  </si>
  <si>
    <t>0,5 -13,8</t>
  </si>
  <si>
    <t>0491</t>
  </si>
  <si>
    <t>0,000 - 83,613</t>
  </si>
  <si>
    <t>Rožnov (mimo) - Černý Kříž (mimo)</t>
  </si>
  <si>
    <t>0,000-83,613</t>
  </si>
  <si>
    <t>0,3 - 83,5</t>
  </si>
  <si>
    <t>0,0-0,3</t>
  </si>
  <si>
    <t>0501</t>
  </si>
  <si>
    <t>1,073 - 40,569</t>
  </si>
  <si>
    <t>Plzeň hl.n.-seř.n.(včet.jen seř.n.) - Mladotice (včetně)</t>
  </si>
  <si>
    <t>1,073-40,569</t>
  </si>
  <si>
    <t>0502</t>
  </si>
  <si>
    <t>137,806 - 203,390</t>
  </si>
  <si>
    <t>Mladotice (mimo) - Žatec (mimo) (vč. Žatec západ)</t>
  </si>
  <si>
    <t>202,000-203,390</t>
  </si>
  <si>
    <t>137,806-187,201 187,201-203,390</t>
  </si>
  <si>
    <t>0503</t>
  </si>
  <si>
    <t>0,000 - 1,062</t>
  </si>
  <si>
    <t>Žatec západ (mimo) - Velichov (mimo)</t>
  </si>
  <si>
    <t>0,000-0,45</t>
  </si>
  <si>
    <t>0,450-1,062</t>
  </si>
  <si>
    <t>0511</t>
  </si>
  <si>
    <t>1,354 - 38,558</t>
  </si>
  <si>
    <t>Rakona (mimo) - Mladotice (mimo)</t>
  </si>
  <si>
    <t>1,354-27,680 27,680-38,558</t>
  </si>
  <si>
    <t>0521</t>
  </si>
  <si>
    <t>28,149 - 87,273</t>
  </si>
  <si>
    <t>Blatno u Jesenice (mimo) - Bečov nad Teplou (mimo)</t>
  </si>
  <si>
    <t>28,149-87,273</t>
  </si>
  <si>
    <t>0531</t>
  </si>
  <si>
    <t>0,200 - 16,823</t>
  </si>
  <si>
    <t>Protivec (mimo) - Bochov (včetně)</t>
  </si>
  <si>
    <t>0,200-16,823</t>
  </si>
  <si>
    <t>0541</t>
  </si>
  <si>
    <t>0,038 - 32,376</t>
  </si>
  <si>
    <t>Kaštice (mimo) - Kadaň - Prunéřov (mimo)</t>
  </si>
  <si>
    <t>0,038-32,376</t>
  </si>
  <si>
    <t>0551</t>
  </si>
  <si>
    <t>8,825 - 17,779</t>
  </si>
  <si>
    <t>Kadaňský Rohozec (včetně) - Vilémov u Kadaně (mimo)</t>
  </si>
  <si>
    <t>8,825-17,779</t>
  </si>
  <si>
    <t>0561</t>
  </si>
  <si>
    <t>0,265 - 10,789</t>
  </si>
  <si>
    <t>Postoloprty (mimo) - Louny (mimo) (vč. Louny předm.)</t>
  </si>
  <si>
    <t>0,265 - 0,455</t>
  </si>
  <si>
    <t>0,265-10,789</t>
  </si>
  <si>
    <t>0571</t>
  </si>
  <si>
    <t>0,000 - 216,408</t>
  </si>
  <si>
    <t>Bažantnice (mimo) - Vrbka (mimo)</t>
  </si>
  <si>
    <t>0,000-0,795 216,200-216,408</t>
  </si>
  <si>
    <t>0581</t>
  </si>
  <si>
    <t>204,167 - 234,800</t>
  </si>
  <si>
    <t>Žatec (mimo) - České Zlatníky (mimo) (vč. Obrnice)</t>
  </si>
  <si>
    <t>204,167-234,800</t>
  </si>
  <si>
    <t>0591</t>
  </si>
  <si>
    <t>0,507 - 45,574</t>
  </si>
  <si>
    <t>Ústí nad Labem hl.n.(m.)(vč.Ú-záp.) - Most (mimo)</t>
  </si>
  <si>
    <t>0594</t>
  </si>
  <si>
    <t>0,082 - 0,978</t>
  </si>
  <si>
    <t>Ústí nad Labem jih (mimo) - Ústí nad Labem západ (mimo)</t>
  </si>
  <si>
    <t>0,082-0,978</t>
  </si>
  <si>
    <t>0597</t>
  </si>
  <si>
    <t>23,701 - 28,482</t>
  </si>
  <si>
    <t>Oldřichov u Duchcova (mimo) - Duchcov nákl.n. (včetně)</t>
  </si>
  <si>
    <t>27,800-28,482</t>
  </si>
  <si>
    <t>n. Duchcov nákl.n./6ha</t>
  </si>
  <si>
    <t>0598</t>
  </si>
  <si>
    <t>9,475 - 12,115</t>
  </si>
  <si>
    <t>n. Chabařovice staré (včetně) - Bohosudov</t>
  </si>
  <si>
    <t>11,550-12,115</t>
  </si>
  <si>
    <t>9,475-11,550</t>
  </si>
  <si>
    <t>9,5 - 11,6</t>
  </si>
  <si>
    <t>0602</t>
  </si>
  <si>
    <t>45,574 - 65,712</t>
  </si>
  <si>
    <t>Most (včetně) - Chomutov-os.n. (včetně, bez seř.n.) včetně žst. Třebušice</t>
  </si>
  <si>
    <t>47,020-49,220</t>
  </si>
  <si>
    <t>ŽST Třebušice/16ha</t>
  </si>
  <si>
    <t>0605</t>
  </si>
  <si>
    <t>1,603 - 3,955</t>
  </si>
  <si>
    <t>Třebušice (mimo) - Most nové nádraží (mimo)</t>
  </si>
  <si>
    <t>1,603-3,43</t>
  </si>
  <si>
    <t>3,430-3,955</t>
  </si>
  <si>
    <t>0611</t>
  </si>
  <si>
    <t>0,708 - 23,076</t>
  </si>
  <si>
    <t>Chomutov-os.n. (mimo) - Křimov (včetně)</t>
  </si>
  <si>
    <t>0,708-23,076</t>
  </si>
  <si>
    <t>0612</t>
  </si>
  <si>
    <t>0,311 - 35,391</t>
  </si>
  <si>
    <t>Křimov (mimo) - Bärenstein (DBAG) (část)</t>
  </si>
  <si>
    <t>0,311-35,391</t>
  </si>
  <si>
    <t>0631</t>
  </si>
  <si>
    <t>Oldřichov u Duchcova (mimo) - Louka u Litvínova (mimo)</t>
  </si>
  <si>
    <t>0632</t>
  </si>
  <si>
    <t>Louka u Litvínova (mimo) - Horní Jiřetín (včetně)</t>
  </si>
  <si>
    <t>0633</t>
  </si>
  <si>
    <t>0,038 - 1,874</t>
  </si>
  <si>
    <t>Dolní Rybník (mimo) - Jirkov (včetně)</t>
  </si>
  <si>
    <t>0,038-1,874</t>
  </si>
  <si>
    <t>0636</t>
  </si>
  <si>
    <t>0,087 - 2,564</t>
  </si>
  <si>
    <t>Chomutov město (mimo) - Chomutov-seř.n. (včetně jen seř.n.)</t>
  </si>
  <si>
    <t>0,087-2,564</t>
  </si>
  <si>
    <t>0637</t>
  </si>
  <si>
    <t>0,030 - 2,500</t>
  </si>
  <si>
    <t>Chomutov-seř.n. (mimo) - VT KONTRANS(dvl.)(vč.)(průmysl.kol.)</t>
  </si>
  <si>
    <t>0,030-2,500</t>
  </si>
  <si>
    <t>2023/2023-30</t>
  </si>
  <si>
    <t>0641</t>
  </si>
  <si>
    <t>1,169 - 39,443</t>
  </si>
  <si>
    <t>Děčín hl.n.(západ) (mimo) - Oldřichov u Duchcova (mimo)</t>
  </si>
  <si>
    <t>1,2 - 39,5</t>
  </si>
  <si>
    <t>dD3 Teplice lesní brána/6ha</t>
  </si>
  <si>
    <t>0651</t>
  </si>
  <si>
    <t>9,676 - 35,747</t>
  </si>
  <si>
    <t>Úpořiny (mimo) - Lovosice (mimo)</t>
  </si>
  <si>
    <t>9,676-28,112 34,900-35,747</t>
  </si>
  <si>
    <t>28,112-34,900</t>
  </si>
  <si>
    <t>0661</t>
  </si>
  <si>
    <t>0,686 - 25,392</t>
  </si>
  <si>
    <t>Ústí nad Labem západ-Trmice (mimo) - Bílina (mimo)</t>
  </si>
  <si>
    <t>0,686-25,392</t>
  </si>
  <si>
    <t>0671</t>
  </si>
  <si>
    <t>0,589 - 8,979</t>
  </si>
  <si>
    <t>Řetenice (mimo) - Úpořiny (mimo)</t>
  </si>
  <si>
    <t>0,589 - 0,650</t>
  </si>
  <si>
    <t>0,589-8,979</t>
  </si>
  <si>
    <t>0681</t>
  </si>
  <si>
    <t>2,753 - 10,002</t>
  </si>
  <si>
    <t>Kralupy nad Vltavou předm. (mimo) - Velvary (včetně)</t>
  </si>
  <si>
    <t>2,753-10,002</t>
  </si>
  <si>
    <t>0691</t>
  </si>
  <si>
    <t>0,883 - 2,870</t>
  </si>
  <si>
    <t>Kralupy nad Vltavou (mimo) - Kralupy nad Vltavou předm. (včetně)</t>
  </si>
  <si>
    <t>0,883-2,870</t>
  </si>
  <si>
    <t>0692</t>
  </si>
  <si>
    <t>0,250 - 10,004</t>
  </si>
  <si>
    <t>Kralupy nad Vltavou předm. (mimo) - Podlešín (mimo)</t>
  </si>
  <si>
    <t>0,250-10,004</t>
  </si>
  <si>
    <t>0693</t>
  </si>
  <si>
    <t>47,520 - 117,761</t>
  </si>
  <si>
    <t>Podlešín (včetně) - Obrnice (mimo)</t>
  </si>
  <si>
    <t xml:space="preserve">depo Louny/8ha
</t>
  </si>
  <si>
    <t>0694</t>
  </si>
  <si>
    <t>118,952 - 121,101</t>
  </si>
  <si>
    <t>Obrnice (mimo) - Most (mimo)</t>
  </si>
  <si>
    <t>118,952-121,101</t>
  </si>
  <si>
    <t>0701</t>
  </si>
  <si>
    <t>124,243 - 125,294</t>
  </si>
  <si>
    <t>Most (mimo) - Most nové nádraží (mimo)</t>
  </si>
  <si>
    <t>0702</t>
  </si>
  <si>
    <t>1,826 - 11,620</t>
  </si>
  <si>
    <t>Most nové nádraží (včetně) - Louka u Litvínova (mimo)</t>
  </si>
  <si>
    <t>0703</t>
  </si>
  <si>
    <t>Louka u Litvínova (včetně) - Dubí (včetně)</t>
  </si>
  <si>
    <t>0704</t>
  </si>
  <si>
    <t>148,852 - 158,081</t>
  </si>
  <si>
    <t>Dubí (mimo) - Moldava v Krušných horách (včetně)</t>
  </si>
  <si>
    <t>148,852-158,081</t>
  </si>
  <si>
    <t>0711</t>
  </si>
  <si>
    <t>1,528 - 19,212</t>
  </si>
  <si>
    <t>Praha-Smíchov(spol.n.) (mimo) - Hostivice (mimo)(přes Prahu-Zličín)</t>
  </si>
  <si>
    <t>1,528-19,212</t>
  </si>
  <si>
    <t>0721</t>
  </si>
  <si>
    <t>1,704 - 16,891</t>
  </si>
  <si>
    <t>Beroun-Závodí (mimo) - Rudná u Prahy (mimo)</t>
  </si>
  <si>
    <t>1,704-16,891</t>
  </si>
  <si>
    <t>0741</t>
  </si>
  <si>
    <t>1,139 - 30,713</t>
  </si>
  <si>
    <t>Praha-Smíchov-jižní zhlaví (mimo) - Středokluky (mimo)(přes Rudnou u Phy)</t>
  </si>
  <si>
    <t>1,139-30,713</t>
  </si>
  <si>
    <t>0742</t>
  </si>
  <si>
    <t>27,129 - 47,520</t>
  </si>
  <si>
    <t>Středokluky (včetně) - Podlešín (mimo)</t>
  </si>
  <si>
    <t>27,129-47,520</t>
  </si>
  <si>
    <t>0743</t>
  </si>
  <si>
    <t>0,029 - 0,806</t>
  </si>
  <si>
    <t>Jeneček (mimo) - Jeneček stav.1 (mimo)(Jižní spojka)</t>
  </si>
  <si>
    <t>0,029-0,806</t>
  </si>
  <si>
    <t>0744</t>
  </si>
  <si>
    <t>0,033 - 0,773</t>
  </si>
  <si>
    <t>Jeneček (mimo) - Jeneček v.6 (mimo)(Sever.spojka)</t>
  </si>
  <si>
    <t>0,033-0,773</t>
  </si>
  <si>
    <t>0751</t>
  </si>
  <si>
    <t>0,614 - 13,851</t>
  </si>
  <si>
    <t>Lovosice (mimo) - Libochovice (včetně)</t>
  </si>
  <si>
    <t>0,614-13,851</t>
  </si>
  <si>
    <t>0752</t>
  </si>
  <si>
    <t>0,675 - 20,184</t>
  </si>
  <si>
    <t>Louny (mimo) - Libochovice (mimo)</t>
  </si>
  <si>
    <t>0,675-20,184</t>
  </si>
  <si>
    <t>0761</t>
  </si>
  <si>
    <t>0,023 - 42,971</t>
  </si>
  <si>
    <t>Beroun-os.n. (mimo) - Rakovník (včetně)</t>
  </si>
  <si>
    <t>0,023-42,971</t>
  </si>
  <si>
    <t>0762</t>
  </si>
  <si>
    <t>0,650 - 43,771</t>
  </si>
  <si>
    <t>Rakovník (mimo) - Louny předměstí (mimo)</t>
  </si>
  <si>
    <t>0,650-26,385 26,385-43,771</t>
  </si>
  <si>
    <t>0781</t>
  </si>
  <si>
    <t>0,066 - 0,889</t>
  </si>
  <si>
    <t>Balabenka (mimo) - Rokytka (mimo) (kol.č. 501)</t>
  </si>
  <si>
    <t>0,066-0,889</t>
  </si>
  <si>
    <t>souběh 0782</t>
  </si>
  <si>
    <t>0782</t>
  </si>
  <si>
    <t>0,320 - 0,845</t>
  </si>
  <si>
    <t>Balabenka (mimo) - Rokytka (mimo) (kol. č. 502)</t>
  </si>
  <si>
    <t>0,320-0,845</t>
  </si>
  <si>
    <t>0791</t>
  </si>
  <si>
    <t>0,199 - 5,071</t>
  </si>
  <si>
    <t>Praha-Libeň (mimo) - Pha-Holešovice(vč,bez st.Stromovka)</t>
  </si>
  <si>
    <t>0,199-5,071</t>
  </si>
  <si>
    <t>0,5 - 4,2</t>
  </si>
  <si>
    <t>0792</t>
  </si>
  <si>
    <t>0,111 - 1,588</t>
  </si>
  <si>
    <t>Praha-Libeň (mimo) - Praha-Vysočany (mimo)</t>
  </si>
  <si>
    <t>0,111-1,588</t>
  </si>
  <si>
    <t>0,2 - 1,3</t>
  </si>
  <si>
    <t>0801</t>
  </si>
  <si>
    <t>410,936 - 540,164</t>
  </si>
  <si>
    <t>Praha Masarykovo nádraží st.4 (mimo) - Děčín hl.n. (včetně) + žst. Lovosice</t>
  </si>
  <si>
    <t>410,936- 489,320; 489,760 -492,830; 495,450-540,164</t>
  </si>
  <si>
    <t>411,8 - 450,9</t>
  </si>
  <si>
    <t>13,0 Praha</t>
  </si>
  <si>
    <t>489,320-489,760 492,830-495,450</t>
  </si>
  <si>
    <t>ŽST Lovosice/35ha</t>
  </si>
  <si>
    <t>0802</t>
  </si>
  <si>
    <t>1,026 - 22,800</t>
  </si>
  <si>
    <t>Děčín hl.n. (mimo) - Bad Schandau (DBAG) (část)</t>
  </si>
  <si>
    <t>1,026 - 11,859</t>
  </si>
  <si>
    <t>3,080 -11,859</t>
  </si>
  <si>
    <t>1,026-3,080</t>
  </si>
  <si>
    <t>0804</t>
  </si>
  <si>
    <t>0,471 - 3,397</t>
  </si>
  <si>
    <t>Vraňany (mimo) - Lužec nad Vltavou (včetně)</t>
  </si>
  <si>
    <t>0,471-3,397</t>
  </si>
  <si>
    <t>0811</t>
  </si>
  <si>
    <t>0,620 - 24,385</t>
  </si>
  <si>
    <t>Kladno (mimo) - Kralupy nad Vltavou (mimo)</t>
  </si>
  <si>
    <t>žst. Kladno - Dubí</t>
  </si>
  <si>
    <t>Kladno-Dubí 1ks/10ha</t>
  </si>
  <si>
    <t>0821</t>
  </si>
  <si>
    <t>1,381 - 17,174</t>
  </si>
  <si>
    <t>Kralupy nad Vltavou (mimo) - Neratovice (mimo)</t>
  </si>
  <si>
    <t>1,381 - 3,200</t>
  </si>
  <si>
    <t>1,381-17,174</t>
  </si>
  <si>
    <t>0831</t>
  </si>
  <si>
    <t>0,345 - 36,975</t>
  </si>
  <si>
    <t>Libochovice (mimo) - Vraňany (mimo)</t>
  </si>
  <si>
    <t>0,345-36,975</t>
  </si>
  <si>
    <t>0841</t>
  </si>
  <si>
    <t>1,484 - 13,270</t>
  </si>
  <si>
    <t>Roudnice nad Labem (mimo) - Straškov-odbočka (mimo)</t>
  </si>
  <si>
    <t>1,484-13,270</t>
  </si>
  <si>
    <t>0851</t>
  </si>
  <si>
    <t>14,881 - 32,173</t>
  </si>
  <si>
    <t>Straškov (mimo) - Zlonice (mimo)</t>
  </si>
  <si>
    <t>14,881-32,173</t>
  </si>
  <si>
    <t>0861</t>
  </si>
  <si>
    <t>1,792 - 40,115</t>
  </si>
  <si>
    <t>Děčín hl.n. (mimo) - Jedlová(mimo)(vč.Děčín vých-hor.n.)</t>
  </si>
  <si>
    <t>1,792 - 4,050</t>
  </si>
  <si>
    <t>1,792-40,115</t>
  </si>
  <si>
    <t>0871</t>
  </si>
  <si>
    <t>0,055 - 19,853</t>
  </si>
  <si>
    <t>Benešov nad Ploučnicí (mimo) - Česká Lípa hl.n. (mimo)</t>
  </si>
  <si>
    <t>0,055-19,853</t>
  </si>
  <si>
    <t>0892</t>
  </si>
  <si>
    <t>1,508 - 11,197</t>
  </si>
  <si>
    <t>Praha-Libeň (mimo) - Pha-Vršovice os.n.(mimo)(vč.seř.n.)</t>
  </si>
  <si>
    <t>1,508-11,197</t>
  </si>
  <si>
    <t>1,9-8,9</t>
  </si>
  <si>
    <t>0893</t>
  </si>
  <si>
    <t>0,404 - 4,127</t>
  </si>
  <si>
    <t>Praha-Malešice (mimo) - Praha-Žižkov (včetně)</t>
  </si>
  <si>
    <t>0,404-4,127</t>
  </si>
  <si>
    <t>0901</t>
  </si>
  <si>
    <t>3,246 - 103,654</t>
  </si>
  <si>
    <t>Praha hl.n. (mimo) - Turnov (mimo) (odb. Skály jen část)</t>
  </si>
  <si>
    <t>3,246 - 12,500</t>
  </si>
  <si>
    <t>3,246-103,654</t>
  </si>
  <si>
    <t>6,1 - 76,4</t>
  </si>
  <si>
    <t>0905</t>
  </si>
  <si>
    <t>0,933 - 3,859</t>
  </si>
  <si>
    <t>Praha-Libeň (mimo) - Praha hl.n. (mimo)</t>
  </si>
  <si>
    <t>0,933-3,859</t>
  </si>
  <si>
    <t>0906</t>
  </si>
  <si>
    <t>0,066 - 1,964</t>
  </si>
  <si>
    <t>Balabenka (mimo) - Praha - Masarykovo n. (mimo)</t>
  </si>
  <si>
    <t>0,066-1,964</t>
  </si>
  <si>
    <t>0911</t>
  </si>
  <si>
    <t>0,126 - 15,098</t>
  </si>
  <si>
    <t>Čelákovice (mimo) - Neratovice (mimo)</t>
  </si>
  <si>
    <t>0,126-15,098</t>
  </si>
  <si>
    <t>0,2 -13,3</t>
  </si>
  <si>
    <t>0913</t>
  </si>
  <si>
    <t>0,214 - 4,033</t>
  </si>
  <si>
    <t>Čelákovice (mimo) - Mochov (včetně)</t>
  </si>
  <si>
    <t>0,214-4,033</t>
  </si>
  <si>
    <t>0921</t>
  </si>
  <si>
    <t>338,181 - 360,328</t>
  </si>
  <si>
    <t>Lysá nad Labem (mimo) - Všetaty (mimo)</t>
  </si>
  <si>
    <t>338,181-360,328</t>
  </si>
  <si>
    <t>338,3 -360,3</t>
  </si>
  <si>
    <t>338,181-338,3</t>
  </si>
  <si>
    <t>0931</t>
  </si>
  <si>
    <t>0,562 - 29,372</t>
  </si>
  <si>
    <t>Nymburk hl.n. (mimo) - Mladá Boleslav hl.n. (mimo)</t>
  </si>
  <si>
    <t>0,562-29,372</t>
  </si>
  <si>
    <t>0941</t>
  </si>
  <si>
    <t>0,750 - 21,769</t>
  </si>
  <si>
    <t>Liberec (mimo) - Zittau (DBAG) (mimo)</t>
  </si>
  <si>
    <t>0,750-21,769</t>
  </si>
  <si>
    <t>0951</t>
  </si>
  <si>
    <t>160,934 - 200,107</t>
  </si>
  <si>
    <t>Liberec (mimo) - Zawidów (PKP) (část)</t>
  </si>
  <si>
    <t>160,934-197,250</t>
  </si>
  <si>
    <t>197,250-200,107</t>
  </si>
  <si>
    <t>0961</t>
  </si>
  <si>
    <t>0,328 - 6,365</t>
  </si>
  <si>
    <t>Raspenava (mimo) - Bílý Potok pod Smrkem (včetně)</t>
  </si>
  <si>
    <t>0,328-6,365</t>
  </si>
  <si>
    <t>0971</t>
  </si>
  <si>
    <t>0,586 - 23,671</t>
  </si>
  <si>
    <t>Frýdlant v Čechách (mimo) - Jindřichovice pod Smrkem (včetně)</t>
  </si>
  <si>
    <t>0,586-23,671</t>
  </si>
  <si>
    <t>0991</t>
  </si>
  <si>
    <t>0,624 - 5,800</t>
  </si>
  <si>
    <t>Lysá nad Labem (mimo) - Milovice (včetně)</t>
  </si>
  <si>
    <t>0,624-5,800</t>
  </si>
  <si>
    <t>1,2 - 5,0</t>
  </si>
  <si>
    <t>1001</t>
  </si>
  <si>
    <t>361,478 - 458,961</t>
  </si>
  <si>
    <t>Všetaty (mimo) - Děčín-P.Žleb(mimo)(vč.Děč.v.dol.n.)</t>
  </si>
  <si>
    <t>362,0 -371,1</t>
  </si>
  <si>
    <t>9,6 Praha</t>
  </si>
  <si>
    <t>1002</t>
  </si>
  <si>
    <t>0,963 - 3,500</t>
  </si>
  <si>
    <t>Mělník (mimo) - Mělník Labe (včetně)</t>
  </si>
  <si>
    <t>0,963-1,766</t>
  </si>
  <si>
    <t>1003</t>
  </si>
  <si>
    <t>0,363 - 1,461</t>
  </si>
  <si>
    <t>Ústí nad Labem-Střekov (mimo) - Ústí nad Labem západ (mimo)</t>
  </si>
  <si>
    <t>0,000 - 2,251</t>
  </si>
  <si>
    <t>Děčín východ-dolní nádraží (mimo) - Děčín-Loubí (včetně)</t>
  </si>
  <si>
    <t>0,000-0,981</t>
  </si>
  <si>
    <t>1011</t>
  </si>
  <si>
    <t>0,498 - 23,926</t>
  </si>
  <si>
    <t>Mělník (mimo) - Mšeno (včetně)</t>
  </si>
  <si>
    <t>0,498-23,926</t>
  </si>
  <si>
    <t>1012</t>
  </si>
  <si>
    <t>0,193 - 10,741</t>
  </si>
  <si>
    <t>Mšeno (mimo) - Skalsko (včetně)</t>
  </si>
  <si>
    <t>0,193-10,741</t>
  </si>
  <si>
    <t>1013</t>
  </si>
  <si>
    <t>0,227 - 14,623</t>
  </si>
  <si>
    <t>Skalsko (mimo) - Mladá Boleslav hl.n. (mimo)</t>
  </si>
  <si>
    <t>0,227-14,623</t>
  </si>
  <si>
    <t>1051</t>
  </si>
  <si>
    <t>85,549 - 160,972</t>
  </si>
  <si>
    <t>Stará Paka (mimo) - Liberec (včetně žst.)</t>
  </si>
  <si>
    <t>85,549-131,050 159,310-160,972</t>
  </si>
  <si>
    <t>86,7 - 131,050</t>
  </si>
  <si>
    <t>85,549-86,7 ; 158,7-160,972</t>
  </si>
  <si>
    <t xml:space="preserve">131,050-159,310 </t>
  </si>
  <si>
    <t>131,050 - 158,7</t>
  </si>
  <si>
    <t>Liberec ÚTD/15ha</t>
  </si>
  <si>
    <t>1061</t>
  </si>
  <si>
    <t>0,480 - 17,793</t>
  </si>
  <si>
    <t>PCE</t>
  </si>
  <si>
    <t>Ostroměř (mimo) - Jičín (včetně)</t>
  </si>
  <si>
    <t>0,480-17,871</t>
  </si>
  <si>
    <t>0,480-17,993</t>
  </si>
  <si>
    <t>1063</t>
  </si>
  <si>
    <t>0,293 - 10,768</t>
  </si>
  <si>
    <t>PCE/UNL</t>
  </si>
  <si>
    <t>Jičín (mimo) - Libuň (včetně)</t>
  </si>
  <si>
    <t>1071</t>
  </si>
  <si>
    <t>10,768 - 29,014</t>
  </si>
  <si>
    <t>Libuň (mimo) - Turnov (mimo)</t>
  </si>
  <si>
    <t>1091</t>
  </si>
  <si>
    <t>22,836 - 37,380</t>
  </si>
  <si>
    <t>Dolní Bousov (mimo) - Zálučí (mimo)</t>
  </si>
  <si>
    <t>36,200-37,380</t>
  </si>
  <si>
    <t>22,836-36,200</t>
  </si>
  <si>
    <t>1101</t>
  </si>
  <si>
    <t>0,625 - 97,521</t>
  </si>
  <si>
    <t>Bakov nad Jizerou (mimo) - Jiříkov (včetně)</t>
  </si>
  <si>
    <t>0,625-97,521</t>
  </si>
  <si>
    <t>1102</t>
  </si>
  <si>
    <t>97,521 - 98,040</t>
  </si>
  <si>
    <t>Jiříkov (mimo) - Ebersbach (Sachs) (DBAG) (mimo)</t>
  </si>
  <si>
    <t>97,521-98,040</t>
  </si>
  <si>
    <t>1103</t>
  </si>
  <si>
    <t>0,520 - 3,474</t>
  </si>
  <si>
    <t>Srní u České Lípy (mimo) - Žizníkov (mimo)</t>
  </si>
  <si>
    <t>0,520-3,474</t>
  </si>
  <si>
    <t>1131</t>
  </si>
  <si>
    <t>36,931 - 84,564</t>
  </si>
  <si>
    <t>Lovosice (mimo) - Česká Lípa město(vč.)(bez Č.L.hl.n.)</t>
  </si>
  <si>
    <t>36,931-84,564</t>
  </si>
  <si>
    <t>1132</t>
  </si>
  <si>
    <t>0,051 - 0,785</t>
  </si>
  <si>
    <t>Žalhostice (mimo) - Velké Žernoseky (mimo)</t>
  </si>
  <si>
    <t>0,051-0,785</t>
  </si>
  <si>
    <t>1141</t>
  </si>
  <si>
    <t>0,692 - 143,166</t>
  </si>
  <si>
    <t>Česká Lípa hl.n. (mimo) - Liberec (mimo)</t>
  </si>
  <si>
    <t>0,692-5,385     89,845-143,166</t>
  </si>
  <si>
    <t>2021/2022</t>
  </si>
  <si>
    <t>1142</t>
  </si>
  <si>
    <t>1,150 - 3,054</t>
  </si>
  <si>
    <t>Mimoň (mimo) - Mimoň staré nádraží (včetně)</t>
  </si>
  <si>
    <t>1,150-3,054</t>
  </si>
  <si>
    <t>1151</t>
  </si>
  <si>
    <t>0,078 - 11,459</t>
  </si>
  <si>
    <t>Rybniště (mimo) - Zittau (DBAG) (včetně)</t>
  </si>
  <si>
    <t>0,078-11,459</t>
  </si>
  <si>
    <t>86,7 - 158,7</t>
  </si>
  <si>
    <t>1152</t>
  </si>
  <si>
    <t>10,361 - 13,706</t>
  </si>
  <si>
    <t>Varnsdorf (mimo) - Varnsdorf staré nádraží st.hr.</t>
  </si>
  <si>
    <t>10,361-13,706</t>
  </si>
  <si>
    <t>1161</t>
  </si>
  <si>
    <t>0,220 - 5,017</t>
  </si>
  <si>
    <t>Panský (mimo) - Krasná Lípa (mimo)</t>
  </si>
  <si>
    <t>0,220-5,017</t>
  </si>
  <si>
    <t>1171</t>
  </si>
  <si>
    <t>0,068 - 17,783</t>
  </si>
  <si>
    <t>Mikulášovice dolní nádraží (mimo) - Rumburk (mimo) (přes Panský)</t>
  </si>
  <si>
    <t>0,068-17,783</t>
  </si>
  <si>
    <t>1181</t>
  </si>
  <si>
    <t>0,020 - 26,271</t>
  </si>
  <si>
    <t>Rumburk (mimo) - Sebnitz (DBAG) (část)(přes Šluknov)</t>
  </si>
  <si>
    <t>0,020-26,271</t>
  </si>
  <si>
    <t>1191</t>
  </si>
  <si>
    <t>298,487 - 338,181</t>
  </si>
  <si>
    <t>Kolín(mimo)(Kolín - Kol.-Zálabí včetně) - Lysá nad Labem (včetně)</t>
  </si>
  <si>
    <t>298,487-338,181</t>
  </si>
  <si>
    <t>299,5 - 338,0</t>
  </si>
  <si>
    <t>1192</t>
  </si>
  <si>
    <t>0,863 - 28,565</t>
  </si>
  <si>
    <t>Lysá nad Labem (mimo) - Pha-Vysočany (mimo)(Skály jen část)</t>
  </si>
  <si>
    <t>0,863-28,565</t>
  </si>
  <si>
    <t>18,6 - 27,4</t>
  </si>
  <si>
    <t>1193</t>
  </si>
  <si>
    <t>0,054 - 1,672</t>
  </si>
  <si>
    <t>Babín (mimo) - Nymburk hl.n.-seř.n. (m.)(vj.kol.)</t>
  </si>
  <si>
    <t>0,054-1,672</t>
  </si>
  <si>
    <t>1194</t>
  </si>
  <si>
    <t>0,092 - 1,770</t>
  </si>
  <si>
    <t>Babín (mimo) - Nymburk hl.n.-seř.n. (m.)(odj.kol.)</t>
  </si>
  <si>
    <t>0,092-1,770</t>
  </si>
  <si>
    <t>1201</t>
  </si>
  <si>
    <t>87,660 - 296,748</t>
  </si>
  <si>
    <t>BNO/PHA</t>
  </si>
  <si>
    <t>Retz (ÖBB) (část) - Kolín (mimo) včetně žst. Znojmo, žst. Jihlava, žst. Dobronín, žst. Kutná Hora</t>
  </si>
  <si>
    <t>Retz (ÖBB) (část) - Kolín (mimo) včetně žst. Moravské Budějovice, žst. Okříšky, žst. Havlíčkův Brod, žst. Světlá nad Sázavou</t>
  </si>
  <si>
    <t>87,660 - 100,750 198,150 - 296,748</t>
  </si>
  <si>
    <t>89,620-90,720 99,560-100,900 198,120-222,300 267,713-296,748</t>
  </si>
  <si>
    <t xml:space="preserve">267,5 - 296,4 Praha
</t>
  </si>
  <si>
    <t>89,620-90,720; 99,560-100,9</t>
  </si>
  <si>
    <t>Mor.Budějovice / 5 ha
Okříšky / 7 ha
Havl.Brod / 18 ha
Světlá n.S. / 6 ha</t>
  </si>
  <si>
    <t>1211</t>
  </si>
  <si>
    <t>0,487 - 7,750</t>
  </si>
  <si>
    <t>Čáslav-místní nádr. (mimo) - Žleby (včetně)</t>
  </si>
  <si>
    <t>0,487-7,750</t>
  </si>
  <si>
    <t>1212</t>
  </si>
  <si>
    <t>7,774 - 17,101</t>
  </si>
  <si>
    <t>Žleby (mimo) (km 7,517 TÚ 1211) - Třemošnice (včetně)</t>
  </si>
  <si>
    <t>7,774-17,101</t>
  </si>
  <si>
    <t>1221</t>
  </si>
  <si>
    <t>0,255 - 25,506</t>
  </si>
  <si>
    <t>BNO</t>
  </si>
  <si>
    <t>Havlíčkův Brod (mimo) - Humpolec (včetně)</t>
  </si>
  <si>
    <t>1,000-14,100
14,650-24,700</t>
  </si>
  <si>
    <t>0,255-1,000
14,100-14,650 
24,700-25,506</t>
  </si>
  <si>
    <t>1231</t>
  </si>
  <si>
    <t>0,326 - 5,933</t>
  </si>
  <si>
    <t>Dobronín (mimo) - Polná (včetně)</t>
  </si>
  <si>
    <t>0,326-5,933</t>
  </si>
  <si>
    <t>1241</t>
  </si>
  <si>
    <t>0,314 - 61,125</t>
  </si>
  <si>
    <t>Střelice (mimo) - Okříšky (mimo)</t>
  </si>
  <si>
    <t>28,900-30,400
35,030-36,300
42,600-44,600
49,600-50,300</t>
  </si>
  <si>
    <t>0,314-28,900
30,400-35,030
36,300-42,600
44,600-49,600
50,300-61,125</t>
  </si>
  <si>
    <t>2023/2024-2030</t>
  </si>
  <si>
    <t>1251</t>
  </si>
  <si>
    <t>0,313 - 20,941</t>
  </si>
  <si>
    <t>Moravské Budějovice (mimo) - Jemnice (včetně)</t>
  </si>
  <si>
    <t>0,313-20,941</t>
  </si>
  <si>
    <t>0,313-1,8;
19,6-20,941</t>
  </si>
  <si>
    <t>1261</t>
  </si>
  <si>
    <t>0,144 - 33,305</t>
  </si>
  <si>
    <t>Studenec (mimo) - Křižanov (mimo)</t>
  </si>
  <si>
    <t>0,144-33,305</t>
  </si>
  <si>
    <t>1262</t>
  </si>
  <si>
    <t>20,134 - 22,397</t>
  </si>
  <si>
    <t>Oslavice (mimo) - Velké Meziříčí staré nádraží (včetně)</t>
  </si>
  <si>
    <t>20,134-22,397</t>
  </si>
  <si>
    <t>1271</t>
  </si>
  <si>
    <t>93,074 - 151,650</t>
  </si>
  <si>
    <t>Hrušovany nad Jevišovkou (mimo - Brno-Hor.Heršpice-St.silnice (mimo)</t>
  </si>
  <si>
    <t>Hrušovany n.J. / 7 ha
Sřelice / 7 ka</t>
  </si>
  <si>
    <t>?</t>
  </si>
  <si>
    <t>1281</t>
  </si>
  <si>
    <t>0,377 - 9,485</t>
  </si>
  <si>
    <t>Moravské Bránice (mimo) - Oslavany (včetně)</t>
  </si>
  <si>
    <t>1,600-5,033
6,381-9,485</t>
  </si>
  <si>
    <t>1,6-5,033; 6,381-9,4</t>
  </si>
  <si>
    <t>0,377-1,600
5,033-6,381</t>
  </si>
  <si>
    <t>1301</t>
  </si>
  <si>
    <t>0,346 - 23,125</t>
  </si>
  <si>
    <t>Velký Osek (mimo) (stará spojka) - Chlumec nad Cidlinou (včetně)</t>
  </si>
  <si>
    <t>0,346-23,125</t>
  </si>
  <si>
    <t>0,5 - 2,4</t>
  </si>
  <si>
    <t>0,345-0,5 ; 2,4-23,125</t>
  </si>
  <si>
    <t>1302</t>
  </si>
  <si>
    <t>Chlumec nad Cidlinou (mimo) - Miedzylesie (PKP) (mimo)</t>
  </si>
  <si>
    <t>0,304 - 50,600 89,500 - 113,251</t>
  </si>
  <si>
    <t>0,304 - 113,251</t>
  </si>
  <si>
    <t>58,800-60,000 71,100-72,200 80,100-82,600 83,400-89,400</t>
  </si>
  <si>
    <t>2021-2023/ 2024-2030</t>
  </si>
  <si>
    <t>1303</t>
  </si>
  <si>
    <t>0,878 - 4,231</t>
  </si>
  <si>
    <t>Velký Osek (mimo) - Kanín (mimo) (nová spojka)</t>
  </si>
  <si>
    <t>0,878-4,231</t>
  </si>
  <si>
    <t>1,2 - 4,2</t>
  </si>
  <si>
    <t>1304</t>
  </si>
  <si>
    <t>0,864 - 3,619</t>
  </si>
  <si>
    <t>Opatovice nad Labem (mimo) - Plačice (mimo)</t>
  </si>
  <si>
    <t>0,864-3,619</t>
  </si>
  <si>
    <t>1311</t>
  </si>
  <si>
    <t>Častolovice (mimo) - Solnice (včetně)</t>
  </si>
  <si>
    <t>0,454-15,609</t>
  </si>
  <si>
    <t>0,454-15,613</t>
  </si>
  <si>
    <t>1321</t>
  </si>
  <si>
    <t>Doudleby nad Orlicí (mimo) - Rokytnice v Orl. horách (včetně)</t>
  </si>
  <si>
    <t>0,465-19,694</t>
  </si>
  <si>
    <t>0,45-19,694</t>
  </si>
  <si>
    <t>1331</t>
  </si>
  <si>
    <t>70,734 - 94,245</t>
  </si>
  <si>
    <t>OLC/PCE</t>
  </si>
  <si>
    <t>Hanušovice (mimo)(vč.Hanuš.-Morava) - Lichkov (mimo)</t>
  </si>
  <si>
    <t>83,9-94,245</t>
  </si>
  <si>
    <t>70,734-83,900</t>
  </si>
  <si>
    <t>2023/ 2024-2030</t>
  </si>
  <si>
    <t>1341</t>
  </si>
  <si>
    <t>0,211 - 16,636</t>
  </si>
  <si>
    <t>Dolní Lipka (mimo) - Štíty (včetně)</t>
  </si>
  <si>
    <t>0,211-16,636</t>
  </si>
  <si>
    <t>1351</t>
  </si>
  <si>
    <t>1,892 - 11,447</t>
  </si>
  <si>
    <t>OLC</t>
  </si>
  <si>
    <t>Morava (mimo) - Staré Město pod Sněžníkem (včetně)</t>
  </si>
  <si>
    <t>1,892-11,447</t>
  </si>
  <si>
    <t>1361</t>
  </si>
  <si>
    <t>102,062 - 116,227</t>
  </si>
  <si>
    <t>Olomouc hl.n. (mimo) - Šternberk (včetně)</t>
  </si>
  <si>
    <t>102,062-116,227</t>
  </si>
  <si>
    <t>1362</t>
  </si>
  <si>
    <t>0,401 - 70,734</t>
  </si>
  <si>
    <t>Šternberk (mimo) - Hanušovice (vč.)(bez Hanuš.-Morava)</t>
  </si>
  <si>
    <t>43,0 - 49,46</t>
  </si>
  <si>
    <t>1363</t>
  </si>
  <si>
    <t>0,386 - 51,500</t>
  </si>
  <si>
    <t>Hanušovice (mimo) - Głuchołazy (PKP) (včetně)</t>
  </si>
  <si>
    <t>0,386-35,0</t>
  </si>
  <si>
    <t>35,0-51,5</t>
  </si>
  <si>
    <t>1364</t>
  </si>
  <si>
    <t>0,105 - 0,737</t>
  </si>
  <si>
    <t>Sudkov (mimo) - Chromeč (mimo)</t>
  </si>
  <si>
    <t>0,105-0,737</t>
  </si>
  <si>
    <t>1371</t>
  </si>
  <si>
    <t>0,471 - 25,903</t>
  </si>
  <si>
    <t>Lipová Lázně (mimo) - Bernartice u Javorníka (mimo)</t>
  </si>
  <si>
    <t>0,471-25,903</t>
  </si>
  <si>
    <t>1372</t>
  </si>
  <si>
    <t>0,187 - 5,387</t>
  </si>
  <si>
    <t>Bernartice u Javorníka (včetnětně) - Javorník ve Slezsku (včetně)</t>
  </si>
  <si>
    <t>0,187-5,387</t>
  </si>
  <si>
    <t>1373</t>
  </si>
  <si>
    <t>0,090 - 4,574</t>
  </si>
  <si>
    <t>Velká Kraš (mimo) - Vidnava (včetně)</t>
  </si>
  <si>
    <t>0,090-4,574</t>
  </si>
  <si>
    <t>1381</t>
  </si>
  <si>
    <t>0,089 - 8,822</t>
  </si>
  <si>
    <t>Mikulovice (mimo) - Zlaté Hory (včetně)</t>
  </si>
  <si>
    <t>1391</t>
  </si>
  <si>
    <t>0,090 - 20,344</t>
  </si>
  <si>
    <t>OVA</t>
  </si>
  <si>
    <t>Třemešná ve Slezsku (mimo) - Osoblaha (včetně)</t>
  </si>
  <si>
    <t>1,6 - 17,7</t>
  </si>
  <si>
    <t>0,09-1,6; 17,7-20,344</t>
  </si>
  <si>
    <t>1401</t>
  </si>
  <si>
    <t>23,125 - 128,623</t>
  </si>
  <si>
    <t>Chlumec nad Cidlinou (mimo) - Trutnov střed-obv.Poříčí (mimo)</t>
  </si>
  <si>
    <t>23,125-128,623</t>
  </si>
  <si>
    <t>50,08 - 128,4</t>
  </si>
  <si>
    <t>23,125-50,0</t>
  </si>
  <si>
    <t>1411</t>
  </si>
  <si>
    <t>0,722 - 13,252</t>
  </si>
  <si>
    <t>Chlumec nad Cidlinou (mimo) - Městec Králové (mimo)</t>
  </si>
  <si>
    <t>0,722-13,252</t>
  </si>
  <si>
    <t>1412</t>
  </si>
  <si>
    <t>0,041 - 12,258</t>
  </si>
  <si>
    <t>Obora (mimo) - Městec Králové (včetně)</t>
  </si>
  <si>
    <t>0,041-12,258</t>
  </si>
  <si>
    <t>1421</t>
  </si>
  <si>
    <t>0,344 - 41,433</t>
  </si>
  <si>
    <t>Veleliby (mimo) - Jičín (mimo)</t>
  </si>
  <si>
    <t>0,344-41,433</t>
  </si>
  <si>
    <t>1431</t>
  </si>
  <si>
    <t>14,687 - 73,248</t>
  </si>
  <si>
    <t>Mladá Boleslav hl.n. (mimo) - Stará Paka (mimo) (bez žst. Libuň)</t>
  </si>
  <si>
    <t>2022</t>
  </si>
  <si>
    <t>1441</t>
  </si>
  <si>
    <t>0,286 - 20,422</t>
  </si>
  <si>
    <t>Martinice v Krkonoších (mimo) - Rokytnice nad Jizerou (včetně)</t>
  </si>
  <si>
    <t>0,286-20,422</t>
  </si>
  <si>
    <t>1451</t>
  </si>
  <si>
    <t>0,411 - 4,737</t>
  </si>
  <si>
    <t>Kunčice nad Labem (mimo) - Vrchlabí (včetně)</t>
  </si>
  <si>
    <t>0,411-4,737</t>
  </si>
  <si>
    <t>1461</t>
  </si>
  <si>
    <t>0,527 - 10,258</t>
  </si>
  <si>
    <t>Trutnov hl.n. (mimo) - Svoboda nad Úpou (včetně)</t>
  </si>
  <si>
    <t>0,527-10,258</t>
  </si>
  <si>
    <t>1471</t>
  </si>
  <si>
    <t>0,188 - 31,689</t>
  </si>
  <si>
    <t>Trutnov střed (mimo) - Teplice nad Metují (mimo)</t>
  </si>
  <si>
    <t>0,188-31,689</t>
  </si>
  <si>
    <t>1481</t>
  </si>
  <si>
    <t>0,000 - 5,092</t>
  </si>
  <si>
    <t>Královec (mimo) - Žacléř (včetně)</t>
  </si>
  <si>
    <t>0,000-5,092</t>
  </si>
  <si>
    <t>1491</t>
  </si>
  <si>
    <t>0,949 - 23,168</t>
  </si>
  <si>
    <t>Choceň (mimo) - Týniště nad Orlicí (mimo)</t>
  </si>
  <si>
    <t>0,949-23,168</t>
  </si>
  <si>
    <t>1501</t>
  </si>
  <si>
    <t>245,284 - 409,899</t>
  </si>
  <si>
    <t>PCE/PHA</t>
  </si>
  <si>
    <t>Česká Třebová os.n.(vč.)(bez seř.n.) - Praha Masarykovo nádraží (včetně) + žst. Choceň</t>
  </si>
  <si>
    <t>Česká Třebová os.n.(vč.)(bez seř.n.) - Praha Masarykovo nádraží (včetně) + žst. Praha-Libeň</t>
  </si>
  <si>
    <t>245,284-409,899</t>
  </si>
  <si>
    <t>Praha-Libeň 1ks/26ha; Choceň - 19ha</t>
  </si>
  <si>
    <t>1504</t>
  </si>
  <si>
    <t>0,731 - 6,054</t>
  </si>
  <si>
    <t>Praha-Běchovice (mimo) - Praha-Malešice (mimo)</t>
  </si>
  <si>
    <t>0,731-6,054</t>
  </si>
  <si>
    <t>2,1 - 4,9</t>
  </si>
  <si>
    <t>1507</t>
  </si>
  <si>
    <t>0,000 - 2,899</t>
  </si>
  <si>
    <t>Pardubice (mimo) - Nemošice (včetně)</t>
  </si>
  <si>
    <t>0,800-2,899</t>
  </si>
  <si>
    <t>0,8-2,9</t>
  </si>
  <si>
    <t>1508</t>
  </si>
  <si>
    <t>0,025 - 0,249</t>
  </si>
  <si>
    <t>Kolín (mimo) - Kolín Labe (včetně)</t>
  </si>
  <si>
    <t>0,025-0,249</t>
  </si>
  <si>
    <t>1512</t>
  </si>
  <si>
    <t>1,141 - 14,168</t>
  </si>
  <si>
    <t>Poříčany (mimo) - Nymburk město (včetně)</t>
  </si>
  <si>
    <t>1,141-14,168</t>
  </si>
  <si>
    <t>1,4 - 13,2</t>
  </si>
  <si>
    <t>1513</t>
  </si>
  <si>
    <t>0,532 - 2,971</t>
  </si>
  <si>
    <t>Nymburk město (mimo) - Veleliby (mimo)</t>
  </si>
  <si>
    <t>0,532-2,971</t>
  </si>
  <si>
    <t>1514</t>
  </si>
  <si>
    <t>0,532 - 1,332</t>
  </si>
  <si>
    <t>Nymburk město (mimo) - Nymburk hl.n. (mimo)</t>
  </si>
  <si>
    <t>0,532-1,332</t>
  </si>
  <si>
    <t>1522</t>
  </si>
  <si>
    <t>0,664 - 19,992</t>
  </si>
  <si>
    <t>Pečky (mimo) - Zásmuky (včetně)</t>
  </si>
  <si>
    <t>0,664-19,992</t>
  </si>
  <si>
    <t>1,1 - 19,8</t>
  </si>
  <si>
    <t>1523</t>
  </si>
  <si>
    <t>0,195 - 3,820</t>
  </si>
  <si>
    <t>Zásmuky (mimo) - Bečváry (mimo)</t>
  </si>
  <si>
    <t>0,195-3,820</t>
  </si>
  <si>
    <t>1524</t>
  </si>
  <si>
    <t>0,097 - 3,001</t>
  </si>
  <si>
    <t>Bošice (mimo) - Kouřim (včetně)</t>
  </si>
  <si>
    <t>0,097-3,001</t>
  </si>
  <si>
    <t>1531</t>
  </si>
  <si>
    <t>0,305 - 29,155</t>
  </si>
  <si>
    <t>Heřmanův Městec (mimo) - Moravany (mimo)</t>
  </si>
  <si>
    <t>13-29,155</t>
  </si>
  <si>
    <t>13,0 - 29,155</t>
  </si>
  <si>
    <t>1541</t>
  </si>
  <si>
    <t>1,800 - 21,556</t>
  </si>
  <si>
    <t>Přelouč (mimo) - Prachovice (včetně)</t>
  </si>
  <si>
    <t>1,800-21,556</t>
  </si>
  <si>
    <t>1,8-21,556</t>
  </si>
  <si>
    <t>1551</t>
  </si>
  <si>
    <t>29,970 - 46,769</t>
  </si>
  <si>
    <t>Moravany (mimo) - Borohrádek (mimo)</t>
  </si>
  <si>
    <t>29,970-46,769</t>
  </si>
  <si>
    <t>1561</t>
  </si>
  <si>
    <t>24,454 - 92,774</t>
  </si>
  <si>
    <t>Týniště nad Orlicí (mimo) - Mieroszów (PKP) (část)</t>
  </si>
  <si>
    <t>24,454-92,774</t>
  </si>
  <si>
    <t>27,38 - 90,26</t>
  </si>
  <si>
    <t>24,454-27,38; 90,26-92,774</t>
  </si>
  <si>
    <t>1562</t>
  </si>
  <si>
    <t>1,643 - 14,739</t>
  </si>
  <si>
    <t>Meziměstí (mimo) - Otovice zastávka (včetně)</t>
  </si>
  <si>
    <t>2,54 - 6,603</t>
  </si>
  <si>
    <t>1,643-2,54; 6,603-14,739</t>
  </si>
  <si>
    <t>10,600-14,739</t>
  </si>
  <si>
    <t>1571</t>
  </si>
  <si>
    <t>0,000 - 5,348</t>
  </si>
  <si>
    <t>Dobruška (včetně) - Opočno pod Orlickými horami (mimo)</t>
  </si>
  <si>
    <t>0,000-5,348</t>
  </si>
  <si>
    <t>1581</t>
  </si>
  <si>
    <t>0,969 - 23,984</t>
  </si>
  <si>
    <t>Choceň (mimo) - Litomyšl (včetně)</t>
  </si>
  <si>
    <t>0,969-23,984</t>
  </si>
  <si>
    <t>1591</t>
  </si>
  <si>
    <t>0,286 - 13,320</t>
  </si>
  <si>
    <t>Letohrad (mimo) - Ústí nad Orlicí (mimo)</t>
  </si>
  <si>
    <t>0,286-13,320</t>
  </si>
  <si>
    <t>1601</t>
  </si>
  <si>
    <t>23,144 - 84,835</t>
  </si>
  <si>
    <t>Hradec Králové hl.n. (mimo) - Stará Paka (mimo)</t>
  </si>
  <si>
    <t>23,144-84,835</t>
  </si>
  <si>
    <t>1611</t>
  </si>
  <si>
    <t>0,538 - 91,692</t>
  </si>
  <si>
    <t>BNO/PCE</t>
  </si>
  <si>
    <t>Havlíčkův Brod (mimo)(viaZETOR h.B.) - Pardubice-Rosice n.L.-j.zhlaví</t>
  </si>
  <si>
    <t>Havlíčkův Brod (mimo)(viaZETOR h.B.) - Pardubice-Rosice n.L.-j.zhlaví včetně žst. Chrudim, žst. Žďárec u Skutče a žst. Hlinsko v Čechách</t>
  </si>
  <si>
    <t>11,680-22,030</t>
  </si>
  <si>
    <t>2021-2022</t>
  </si>
  <si>
    <t>1612</t>
  </si>
  <si>
    <t>2,047 - 21,840</t>
  </si>
  <si>
    <t>Pardubice-Rosice n.L.-j.zhlaví (včetně) - Hradec Králové hl.n. (mimo)</t>
  </si>
  <si>
    <t>2,047-21,840</t>
  </si>
  <si>
    <t>1613</t>
  </si>
  <si>
    <t>0,622 - 1,114</t>
  </si>
  <si>
    <t>Chrudim (mimo) - Chrudim město (mimo)</t>
  </si>
  <si>
    <t>0,622-1,114</t>
  </si>
  <si>
    <t>1614</t>
  </si>
  <si>
    <t>1,337 - 2,047</t>
  </si>
  <si>
    <t>Pardubice hl.n. (mimo) - Pardubice-Rosice n.L.-j.zhlaví</t>
  </si>
  <si>
    <t>1,337-2,047</t>
  </si>
  <si>
    <t>1631</t>
  </si>
  <si>
    <t>0,638 - 34,447</t>
  </si>
  <si>
    <t>Hradec Králové hl.n. (mimo) - Ostroměř (mimo)</t>
  </si>
  <si>
    <t>0,638-34,447</t>
  </si>
  <si>
    <t>1641</t>
  </si>
  <si>
    <t>0,033 - 11,110</t>
  </si>
  <si>
    <t>Hněvčeves (mimo) - Smiřice (mimo)</t>
  </si>
  <si>
    <t>0,033-11,110</t>
  </si>
  <si>
    <t>0,2-10,6</t>
  </si>
  <si>
    <t>1651</t>
  </si>
  <si>
    <t>0,222 - 62,089</t>
  </si>
  <si>
    <t>Jaroměř (mimo) - Lubawka (PKP) (část)</t>
  </si>
  <si>
    <t>0,3-62,089</t>
  </si>
  <si>
    <t>0,84 - 47,15</t>
  </si>
  <si>
    <t>1652</t>
  </si>
  <si>
    <t>0,139 - 2,453</t>
  </si>
  <si>
    <t>Václavice (mimo) - Starkoč (mimo)</t>
  </si>
  <si>
    <t>0,139-2,453</t>
  </si>
  <si>
    <t>1661</t>
  </si>
  <si>
    <t>0,148 - 16,824</t>
  </si>
  <si>
    <t>Železný Brod (mimo) - Tanvald (mimo)</t>
  </si>
  <si>
    <t>11,700-15,300</t>
  </si>
  <si>
    <t>1671</t>
  </si>
  <si>
    <t>1,786 - 40,111</t>
  </si>
  <si>
    <t>Liberec (mimo) - Szklarska Poręba (PKP) (část)</t>
  </si>
  <si>
    <t>Tanvald/6ha, Kořenov/7ha</t>
  </si>
  <si>
    <t>1681</t>
  </si>
  <si>
    <t>0,232 - 6,776</t>
  </si>
  <si>
    <t>Smržovka (mimo) - Josefův Důl (včetně)</t>
  </si>
  <si>
    <t>0,232-6,776</t>
  </si>
  <si>
    <t>1691</t>
  </si>
  <si>
    <t>61,097 - 117,977</t>
  </si>
  <si>
    <t>Summerau (ÖBB) (část) - České Budějovice (mimo)(Rožnov</t>
  </si>
  <si>
    <t>68,8-70,4;             103,0-106,5; 110,4-112,6; 115,980-117,977</t>
  </si>
  <si>
    <t>61,097-68,8; 70,4-103,0; 106,5-110,4; 112,6-115,980</t>
  </si>
  <si>
    <t xml:space="preserve">Horní Dvořiště / 11 ha    </t>
  </si>
  <si>
    <t>2021-22</t>
  </si>
  <si>
    <t>1701</t>
  </si>
  <si>
    <t>1,094 - 133,570</t>
  </si>
  <si>
    <t>České Velenice (mimo) - Benešov u Prahy (mimo)</t>
  </si>
  <si>
    <t>54,250 - 133,570</t>
  </si>
  <si>
    <t>1,094-71,7  84,775-95,417  95,417-133,570</t>
  </si>
  <si>
    <t>71,7-84,775</t>
  </si>
  <si>
    <t xml:space="preserve">  Tábor / 12 ha</t>
  </si>
  <si>
    <t>1702</t>
  </si>
  <si>
    <t>0,514 - 3,242</t>
  </si>
  <si>
    <t>Praha-Hostivař (mimo) - Praha-Malešice (mimo)</t>
  </si>
  <si>
    <t>0,514-3,242</t>
  </si>
  <si>
    <t>0,8 - 2,9</t>
  </si>
  <si>
    <t>souběh 0892 a 1704</t>
  </si>
  <si>
    <t>1703</t>
  </si>
  <si>
    <t>0,624 - 1,437</t>
  </si>
  <si>
    <t>Praha-Vršovice os.n. (mimo) - Praha-Vyšehrad (mimo)</t>
  </si>
  <si>
    <t>0,624-1,437</t>
  </si>
  <si>
    <t>0,6 - 1,4</t>
  </si>
  <si>
    <t>souběh 0202</t>
  </si>
  <si>
    <t>1704</t>
  </si>
  <si>
    <t>133,570 - 186,744</t>
  </si>
  <si>
    <t>Benešov u Prahy (včetně) - Praha hl.n.(vč.)(Vršov.jen os.</t>
  </si>
  <si>
    <t>133,570-186,744</t>
  </si>
  <si>
    <t>170,0 - 182,6</t>
  </si>
  <si>
    <t>1711</t>
  </si>
  <si>
    <t>0,470 - 34,778</t>
  </si>
  <si>
    <t>Čerčany (mimo) - Skochovice (mimo)</t>
  </si>
  <si>
    <t>0,470-34,778</t>
  </si>
  <si>
    <t>1712</t>
  </si>
  <si>
    <t>31,673 - 39,208</t>
  </si>
  <si>
    <t>Vrané nad Vltavou (včetně) - Praha-Modřany (mimo)</t>
  </si>
  <si>
    <t>31,673-39,208</t>
  </si>
  <si>
    <t>1713</t>
  </si>
  <si>
    <t>6,393 - 12,739</t>
  </si>
  <si>
    <t>Praha-Krč (mimo) - Praha-Modřany (včetně)</t>
  </si>
  <si>
    <t>6,393-12,739</t>
  </si>
  <si>
    <t>1714</t>
  </si>
  <si>
    <t>0,733 - 4,514</t>
  </si>
  <si>
    <t>Praha-Vršovice os.n. (mimo) - Praha-Krč (mimo)</t>
  </si>
  <si>
    <t>0,733-4,514</t>
  </si>
  <si>
    <t>1,6 - 4,3</t>
  </si>
  <si>
    <t>1721</t>
  </si>
  <si>
    <t>0,666 - 31,673</t>
  </si>
  <si>
    <t>Dobříš (včetně) - Vrané nad Vltavou (mimo)</t>
  </si>
  <si>
    <t>0,666-31,673</t>
  </si>
  <si>
    <t>0,6 - 31,0</t>
  </si>
  <si>
    <t>1731</t>
  </si>
  <si>
    <t>39,255 - 65,349</t>
  </si>
  <si>
    <t>Ledečko (včetně) - Čerčany (mimo)</t>
  </si>
  <si>
    <t>39,255-65,349</t>
  </si>
  <si>
    <t>1,2 - 35,5</t>
  </si>
  <si>
    <t>1732</t>
  </si>
  <si>
    <t>0,309 - 16,766</t>
  </si>
  <si>
    <t>Ledečko (mimo) - Kácov (včetně)</t>
  </si>
  <si>
    <t>0,309-16,766</t>
  </si>
  <si>
    <t>1733</t>
  </si>
  <si>
    <t>0,211 - 47,618</t>
  </si>
  <si>
    <t>PHA/BNO</t>
  </si>
  <si>
    <t>Kácov (mimo) - Světlá nad Sázavou (mimo)</t>
  </si>
  <si>
    <t>0,211-20,470</t>
  </si>
  <si>
    <t>20,47-47,618</t>
  </si>
  <si>
    <t>1741</t>
  </si>
  <si>
    <t>0,514 - 38,069</t>
  </si>
  <si>
    <t>Kolín (mimo) (vč.Kolín-Kol.míst.n.) - Ledečko st.1 (mimo)</t>
  </si>
  <si>
    <t>0,514-38,069</t>
  </si>
  <si>
    <t>1751</t>
  </si>
  <si>
    <t>0,448 - 35,679</t>
  </si>
  <si>
    <t>Kutná Hora hl.n. (mimo) - Zruč nad Sázavou (mimo)</t>
  </si>
  <si>
    <t>0,448-35,679</t>
  </si>
  <si>
    <t>1761</t>
  </si>
  <si>
    <t>0,849 - 33,645</t>
  </si>
  <si>
    <t>Benešov u Prahy (mimo) - Trhový Štěpánov (včetně)</t>
  </si>
  <si>
    <t>0,849-33,645</t>
  </si>
  <si>
    <t>1771</t>
  </si>
  <si>
    <t>0,286 - 16,825</t>
  </si>
  <si>
    <t>Olbramovice (mimo) - Sedlčany (včetně)</t>
  </si>
  <si>
    <t>0,286-16,825</t>
  </si>
  <si>
    <t>0,8 - 16,7</t>
  </si>
  <si>
    <t>1781</t>
  </si>
  <si>
    <t>4,728 - 37,214</t>
  </si>
  <si>
    <t>Nemanice I. (mimo) - Veselí nad Lužnicí (mimo)</t>
  </si>
  <si>
    <t>25,0-37,214</t>
  </si>
  <si>
    <t>4,728-25,0</t>
  </si>
  <si>
    <t>Hluboká n/Vlt.Zámostí / 6 ha              Chotýčany/ 6 ha   Ševětín/ 6 ha</t>
  </si>
  <si>
    <t>1791</t>
  </si>
  <si>
    <t>0,167 - 22,185</t>
  </si>
  <si>
    <t>Rybník (mimo) - Lipno nad Vltavou (včetně)</t>
  </si>
  <si>
    <t>0,200-0,600   7,13-7,5   9,5-10,500 11,300-11,55  15,8-16,000 18,400-18,530 20,000-20,550 21,300-21,900</t>
  </si>
  <si>
    <t>1801</t>
  </si>
  <si>
    <t>0,533 - 92,804</t>
  </si>
  <si>
    <t>CBE/BNO</t>
  </si>
  <si>
    <t>Veselí nad Lužnicí (mimo) - Jihlava (mimo)</t>
  </si>
  <si>
    <t>Veselí nad Lužnicí (mimo) - Jihlava (mimo) včetně žst. Kostelec u Jihlavy a žst. Jihlava město</t>
  </si>
  <si>
    <t>0,533-48,254</t>
  </si>
  <si>
    <t>0,9 - 47,8</t>
  </si>
  <si>
    <t>H.Cerekev / 6 ha
Kostelec / 5 ha
Jihlava město / 6 ha</t>
  </si>
  <si>
    <t>1811</t>
  </si>
  <si>
    <t>1,171 - 59,460</t>
  </si>
  <si>
    <t>Tábor (mimo) - Písek (mimo)</t>
  </si>
  <si>
    <t>1,171-59,460</t>
  </si>
  <si>
    <t>2,2 -57,5</t>
  </si>
  <si>
    <t>1821</t>
  </si>
  <si>
    <t>0,276 - 24,303</t>
  </si>
  <si>
    <t>Tábor (mimo) - Bechyně (včetně)</t>
  </si>
  <si>
    <t>0,276-24,303</t>
  </si>
  <si>
    <t>0,451 - 68,873</t>
  </si>
  <si>
    <t>BNO/CBE</t>
  </si>
  <si>
    <t>Horní Cerekev (mimo) - Tábor (mimo)</t>
  </si>
  <si>
    <t>51,1 - 63,2</t>
  </si>
  <si>
    <t>1861</t>
  </si>
  <si>
    <t>0,583 - 23,300</t>
  </si>
  <si>
    <t>Kostelec u Jihlavy (mimo) - Telč (mimo)</t>
  </si>
  <si>
    <t>0,583-22,814</t>
  </si>
  <si>
    <t>0,583 - 22,9</t>
  </si>
  <si>
    <t>1862</t>
  </si>
  <si>
    <t>36,373 - 67,577</t>
  </si>
  <si>
    <t>Slavonice (včetně) - Telč (včetně)</t>
  </si>
  <si>
    <t>36,373-67,577</t>
  </si>
  <si>
    <t>36,373 - 66,3</t>
  </si>
  <si>
    <t>66,3-67,577</t>
  </si>
  <si>
    <t>1871</t>
  </si>
  <si>
    <t>0,132 - 5,521</t>
  </si>
  <si>
    <t>Č.Třebová seř.n.-vjezd.sk. (mimo) - Č.Třebová seř.n.-sever (mimo)</t>
  </si>
  <si>
    <t>0,132-5,521</t>
  </si>
  <si>
    <t>1872</t>
  </si>
  <si>
    <t>246,667 - 249,031</t>
  </si>
  <si>
    <t>Č.Třebová seř.n.-sever (mimo) - Parník (mimo) (vjezdová kolej)</t>
  </si>
  <si>
    <t>246,667-249,031</t>
  </si>
  <si>
    <t>1873</t>
  </si>
  <si>
    <t>246,625 - 248,977</t>
  </si>
  <si>
    <t>Č.Třebová seř.n.-sever (mimo) - Parník (mimo) (odjezdová kolej</t>
  </si>
  <si>
    <t>246,625-248,977</t>
  </si>
  <si>
    <t>1881</t>
  </si>
  <si>
    <t>Třebovice v Čechách (mimo) - Č.Třebová seř.n. (včetně)(bez os.n.)</t>
  </si>
  <si>
    <t>0,017-2,614</t>
  </si>
  <si>
    <t>2,614 - 4,3</t>
  </si>
  <si>
    <t>2,614-4,3</t>
  </si>
  <si>
    <t>1883</t>
  </si>
  <si>
    <t>0,838 - 7,142</t>
  </si>
  <si>
    <t>Č.Třebová seř.n.-jih (mimo) - Třebovice v Čechách (mimo)</t>
  </si>
  <si>
    <t>0,838-7,142</t>
  </si>
  <si>
    <t>1884</t>
  </si>
  <si>
    <t>240,513 - 1,055</t>
  </si>
  <si>
    <t>Zádulka (mimo) - Č.Třebová seř.n.-vjezd.sk. (mimo)</t>
  </si>
  <si>
    <t xml:space="preserve"> 240,513-240,833 0,000-1,055</t>
  </si>
  <si>
    <t>1886</t>
  </si>
  <si>
    <t>240,568 - 241,453</t>
  </si>
  <si>
    <t>Zádulka (mimo) - Les (mimo)</t>
  </si>
  <si>
    <t>240,568-241,453</t>
  </si>
  <si>
    <t>1887</t>
  </si>
  <si>
    <t>246,393 - 246,745</t>
  </si>
  <si>
    <t>žst. Č.Třebová seř.n.-sever - komerční obvod a vlečkový areál</t>
  </si>
  <si>
    <t>246,393-246,745</t>
  </si>
  <si>
    <t>1891</t>
  </si>
  <si>
    <t>180,958 - 292,602</t>
  </si>
  <si>
    <t>OLC/OVA</t>
  </si>
  <si>
    <t>Přerov (včetně) - Zebrzydowice (mimo) včetně žst. Studénka, uzel Ostrava, žst. Bohumín-Vrbice a žst. Bohumín</t>
  </si>
  <si>
    <t>Studenka (20,4 ha)
Ostrava hl.n + nakladní nadraží  (113,3 ha)
Bohumín Vrbice (56 ha)
Bohumín (84,7 ha)</t>
  </si>
  <si>
    <t>1901</t>
  </si>
  <si>
    <t>0,867 - 87,582</t>
  </si>
  <si>
    <t>PCE/OLC</t>
  </si>
  <si>
    <t>Česká Třebová os.n. (mimo) - Olomouc hl.n. (včetně) + žst. Krasíkov, Třebovice a Rudoltice</t>
  </si>
  <si>
    <t>0,867 - 87,852</t>
  </si>
  <si>
    <t>0,867-30,3              83,500-87,582</t>
  </si>
  <si>
    <t>0,867-30,3              83,5-87,582</t>
  </si>
  <si>
    <t>Stanice-Třebovice /13 ha, Rudoltice /12 ha, Krasíkov /9 ha</t>
  </si>
  <si>
    <t>1902</t>
  </si>
  <si>
    <t>184,261 - 205,131</t>
  </si>
  <si>
    <t>Přerov (mimo) - Olomouc hl.n. (mimo)</t>
  </si>
  <si>
    <t>Přerov (mimo) - Olomouc hl.n. (mimo) včetně žst. Brodek a Grygov</t>
  </si>
  <si>
    <t>184,261 - 187,8    205,0 - 205,131</t>
  </si>
  <si>
    <t>187,8-205,0</t>
  </si>
  <si>
    <t>1904</t>
  </si>
  <si>
    <t>276,484 - 279,628</t>
  </si>
  <si>
    <t>Bohumín os.nádr. (mimo) - Chałupki (mimo)</t>
  </si>
  <si>
    <t>276,484-276,787</t>
  </si>
  <si>
    <t>276,787-279,628</t>
  </si>
  <si>
    <t>1906</t>
  </si>
  <si>
    <t>0,000 - 4,275</t>
  </si>
  <si>
    <t>Bohumín-Vrbice (mimo) - Chałupki (mimo)</t>
  </si>
  <si>
    <t>0-1,018; 2,039-4,275</t>
  </si>
  <si>
    <t>1,018-2,039</t>
  </si>
  <si>
    <t>1908</t>
  </si>
  <si>
    <t>1,025 - 7,713</t>
  </si>
  <si>
    <t>Dluhonice (mimo) - Prosenice (mimo)</t>
  </si>
  <si>
    <t>1,025-7,713</t>
  </si>
  <si>
    <t>1911</t>
  </si>
  <si>
    <t>0,336 - 76,331</t>
  </si>
  <si>
    <t>Prostějov hl.n. (mimo) - Třebovice v Čechách (mimo) + žst. Mladějov</t>
  </si>
  <si>
    <t>0,336 - 29,4</t>
  </si>
  <si>
    <t>1921</t>
  </si>
  <si>
    <t>0,371 - 4,414</t>
  </si>
  <si>
    <t>Rudoltice v Čechách (mimo) - Lanškroun (včetně)</t>
  </si>
  <si>
    <t>0,371-4,414</t>
  </si>
  <si>
    <t>1931</t>
  </si>
  <si>
    <t>0,073 - 7,054</t>
  </si>
  <si>
    <t>Zábřeh na Moravě (mimo) - Bludov (mimo)</t>
  </si>
  <si>
    <t>0,1-7,054</t>
  </si>
  <si>
    <t>1951</t>
  </si>
  <si>
    <t>0,835 - 2,684</t>
  </si>
  <si>
    <t>Červenka (mimo) - Litovel (včetně)</t>
  </si>
  <si>
    <t>0,835-2,684</t>
  </si>
  <si>
    <t>1952</t>
  </si>
  <si>
    <t>0,152 - 12,224</t>
  </si>
  <si>
    <t>Litovel (mimo) - Senice na Hané (mimo)</t>
  </si>
  <si>
    <t>0,152-3,4</t>
  </si>
  <si>
    <t>3,4-12,224</t>
  </si>
  <si>
    <t>3,5 - 3,9</t>
  </si>
  <si>
    <t>3,4-3,5; 3,9-12,224</t>
  </si>
  <si>
    <t>1953</t>
  </si>
  <si>
    <t>0,237 - 5,862</t>
  </si>
  <si>
    <t>Litovel předměstí (mimo) - Mladeč (včetně)</t>
  </si>
  <si>
    <t>0,237-5,862</t>
  </si>
  <si>
    <t>1961</t>
  </si>
  <si>
    <t>0,883 - 39,244</t>
  </si>
  <si>
    <t>Suchdol nad Odrou (mimo) - Budišov nad Budišovkou (včetně)</t>
  </si>
  <si>
    <t>0,883-39,244</t>
  </si>
  <si>
    <t>1971</t>
  </si>
  <si>
    <t>0,228 - 9,740</t>
  </si>
  <si>
    <t>Suchdol nad Odrou (mimo) - Fulnek (včetně)</t>
  </si>
  <si>
    <t>0,228-1,730</t>
  </si>
  <si>
    <t>1,730-9,740</t>
  </si>
  <si>
    <t>2,0 - 9,4</t>
  </si>
  <si>
    <t>1981</t>
  </si>
  <si>
    <t>0,193 - 7,591</t>
  </si>
  <si>
    <t>Studénka (mimo) - Bílovec (včetně)</t>
  </si>
  <si>
    <t>0,193-0,580</t>
  </si>
  <si>
    <t>0,580-7,620</t>
  </si>
  <si>
    <t>0,5 - 7,1</t>
  </si>
  <si>
    <t>1991</t>
  </si>
  <si>
    <t>0,327 - 8,382</t>
  </si>
  <si>
    <t>Suchdol nad Odrou (mimo) - Nový Jičín město (včetně)</t>
  </si>
  <si>
    <t>0,327-0,545</t>
  </si>
  <si>
    <t>0,545-8,400</t>
  </si>
  <si>
    <t>2001</t>
  </si>
  <si>
    <t>85,666 - 143,769</t>
  </si>
  <si>
    <t>Břeclav předn. (mimo) - Brno hl.n. (včetně žst.) + Odstavné A a Odstavné B</t>
  </si>
  <si>
    <t>105,557-114,946
133,497-138,176
139,600-141,350</t>
  </si>
  <si>
    <t>Podivín / 6 ha
Zaječí / 8
Vranovice / 9 ha
Odst.n.(A+B) / 12 ha
Brno hl.n. / 13 ha</t>
  </si>
  <si>
    <t>2002</t>
  </si>
  <si>
    <t>156,029 - 245,284</t>
  </si>
  <si>
    <t>Brno hl.n. (mimo) - Česká Třebová os.n. (mimo)</t>
  </si>
  <si>
    <t>158,300-161,800
172,170-177,960
179,860-183,930
186,020-193,370
195,260-202,450
204,610-212,700
214,070-228,984 228,984-245,284</t>
  </si>
  <si>
    <t>156,029-158,300 161,800-172,170 177,960-179,860 183,930-186,020 193,370-195,260 202,450-204,610 212,700-214,070</t>
  </si>
  <si>
    <t>Blansko / 8 ha
Skalice n.S. / 8 ha
Březová  n.S. / 6 ha</t>
  </si>
  <si>
    <t>2003</t>
  </si>
  <si>
    <t>0,177 - 1,934</t>
  </si>
  <si>
    <t>Modřice (mimo) - Brno-H.Heršpice (m) (přes Brno jih)</t>
  </si>
  <si>
    <t>0,177 -1,934</t>
  </si>
  <si>
    <t>Brno Jih / 5 ha</t>
  </si>
  <si>
    <t>souběh 2001</t>
  </si>
  <si>
    <t>2005</t>
  </si>
  <si>
    <t>1,451 - 5,350; 10,054 - 11,936</t>
  </si>
  <si>
    <t>Brno-Horní Heršpice (mimo) - Brno-Židenice (m)(přes Brno d.n.)</t>
  </si>
  <si>
    <t>1,451 - 11,936</t>
  </si>
  <si>
    <t>10,054-11,936 1,451-2,820</t>
  </si>
  <si>
    <t>2,820-5,350</t>
  </si>
  <si>
    <t>2007</t>
  </si>
  <si>
    <r>
      <rPr>
        <sz val="8"/>
        <color rgb="FFFF0000"/>
        <rFont val="Verdana"/>
        <family val="2"/>
        <charset val="238"/>
      </rPr>
      <t xml:space="preserve">0,023 - 0,624;
0,202 - </t>
    </r>
    <r>
      <rPr>
        <sz val="8"/>
        <rFont val="Verdana"/>
        <family val="2"/>
        <charset val="238"/>
      </rPr>
      <t>1,360</t>
    </r>
  </si>
  <si>
    <t>Brno-Židenice (mimo) - Posvitavské vlečky (dvl.) (včetně)</t>
  </si>
  <si>
    <t>0,202-1,360            0,023-0,624</t>
  </si>
  <si>
    <t>2011</t>
  </si>
  <si>
    <t>0,442 - 52,286</t>
  </si>
  <si>
    <t>Svitavy (mimo) - Žďárec u Skutče (mimo)</t>
  </si>
  <si>
    <t>0,442-52,286</t>
  </si>
  <si>
    <t>0,376 - 31,848</t>
  </si>
  <si>
    <t>Chornice (mimo) - Skalice nad Svitavou (mimo)</t>
  </si>
  <si>
    <t>0-10,5</t>
  </si>
  <si>
    <t>10,5-31,848</t>
  </si>
  <si>
    <t>2031</t>
  </si>
  <si>
    <t>0,411 - 117,321</t>
  </si>
  <si>
    <t>Brno-Židenice (mimo) - Havlíčkův Brod (m)(vč.st.Tunel-H.B.)</t>
  </si>
  <si>
    <t>Brno-Židenice (mimo) - Havlíčkův Brod (m)(vč.st.Tunel-H.B.) včetně žst. Brno Kr. Pole, žst. Tišnov, žst. Křižanov</t>
  </si>
  <si>
    <t>0,411-8,270 17,500-19,500 85,600-87,430</t>
  </si>
  <si>
    <t>8,270-17,500 19,500-85,600 87,430-117,321</t>
  </si>
  <si>
    <t>Brno Kr.Pole / 7 ha
Tišnov / 10 ha
Křižanov / 11 ha</t>
  </si>
  <si>
    <t>2032</t>
  </si>
  <si>
    <t>158,385 - 160,803</t>
  </si>
  <si>
    <t>Brno-Židenice (mimo) - Brno-Malom.(vč.)(bez krp.zh.a Há)</t>
  </si>
  <si>
    <t>158,385-160,803</t>
  </si>
  <si>
    <t>2034</t>
  </si>
  <si>
    <t>1,377 - 2,703</t>
  </si>
  <si>
    <t>Havlíčkův Brod-stan.Tunel (mimo) - Kubešův Mlýn (mimo)</t>
  </si>
  <si>
    <t>1,377-2,703</t>
  </si>
  <si>
    <t>souběh 2031</t>
  </si>
  <si>
    <t>2041</t>
  </si>
  <si>
    <t>0,423 - 2,690</t>
  </si>
  <si>
    <t>Hrušovany u Brna (mimo) - Židlochovice (včetně)</t>
  </si>
  <si>
    <t>0,423-2,690</t>
  </si>
  <si>
    <t>2051</t>
  </si>
  <si>
    <t>0,342 - 8,677</t>
  </si>
  <si>
    <t>Vranovice (mimo) - Pohořelice (včetně)</t>
  </si>
  <si>
    <t>0,342-8,677</t>
  </si>
  <si>
    <t>2061</t>
  </si>
  <si>
    <t>0,146 - 6,832</t>
  </si>
  <si>
    <t>Šakvice (mimo) - Hustopeče u Brna (včetně)</t>
  </si>
  <si>
    <t>0,146-6,832</t>
  </si>
  <si>
    <t>2071</t>
  </si>
  <si>
    <t>34,046 - 94,354</t>
  </si>
  <si>
    <t>Žďár nad Sázavou (mimo) - Tišnov (mimo) (přes N.Město na M.)</t>
  </si>
  <si>
    <t>34,046-94,354</t>
  </si>
  <si>
    <t>2081</t>
  </si>
  <si>
    <t>83,818 - 126,857</t>
  </si>
  <si>
    <t>Břeclav (mimo) - Hrušovany nad Jevišovkou (včetně žst.)</t>
  </si>
  <si>
    <t>84,167-126,857</t>
  </si>
  <si>
    <t>Hrušovany nad J 7ha</t>
  </si>
  <si>
    <t>2082</t>
  </si>
  <si>
    <t>0,561 - 24,876</t>
  </si>
  <si>
    <t>Hrušovany nad Jevišovkou (mimo) - Znojmo (mimo)</t>
  </si>
  <si>
    <t>0,561-24,933</t>
  </si>
  <si>
    <t>24,0-24,933</t>
  </si>
  <si>
    <t>2083</t>
  </si>
  <si>
    <t>0,357 - 9,482</t>
  </si>
  <si>
    <t>Boří les (mimo) - Lednice (včetně)</t>
  </si>
  <si>
    <t>0,357-9,482</t>
  </si>
  <si>
    <t>3,6 - 8,9</t>
  </si>
  <si>
    <t>0,357-3,6; 8,9-9,482</t>
  </si>
  <si>
    <t>2091</t>
  </si>
  <si>
    <t>0,459 - 36,873</t>
  </si>
  <si>
    <t>Zaječí (mimo) - Hodonín (mimo) (přes Mutěnice)</t>
  </si>
  <si>
    <t>2101</t>
  </si>
  <si>
    <t>1,351- 87,901</t>
  </si>
  <si>
    <t>BNO/OLC</t>
  </si>
  <si>
    <t>Brno hl.n. (mimo) - Přerov (mimo) (přes Chrlice)</t>
  </si>
  <si>
    <t>Brno hl.n. (mimo) - Přerov (mimo) (přes Chrlice) včetně žst. Vyškov</t>
  </si>
  <si>
    <t>61,644-87,901</t>
  </si>
  <si>
    <t>1,351-61,644</t>
  </si>
  <si>
    <t>Vyškov n.M. / 10 ha</t>
  </si>
  <si>
    <t>2111</t>
  </si>
  <si>
    <t>0,364 - 10,934</t>
  </si>
  <si>
    <t>Kojetín (mimo) - Tovačov (včetně)</t>
  </si>
  <si>
    <t>0,364-10,934</t>
  </si>
  <si>
    <t>2121</t>
  </si>
  <si>
    <t>0,447 - 60,530</t>
  </si>
  <si>
    <t>Kojetín (mimo) - Valašské Meziříčí (m.)(bez žst.Hulín)</t>
  </si>
  <si>
    <t>0,447-60,530</t>
  </si>
  <si>
    <t>2122</t>
  </si>
  <si>
    <t>0,459 - 16,972</t>
  </si>
  <si>
    <t>Kroměříž (mimo) - Zborovice (včetně)</t>
  </si>
  <si>
    <t>0,459-16,972</t>
  </si>
  <si>
    <t>2131</t>
  </si>
  <si>
    <t>61,600 - 111,088</t>
  </si>
  <si>
    <t>Valašské Meziříčí (mimo) - Frýdek-Místek (mimo) včetně žst. Frýdlant n/O</t>
  </si>
  <si>
    <t>Valašské Meziříčí (mimo) - Frýdek-Místek (mimo) včetně žst. Veřovice a Frenštát p/R</t>
  </si>
  <si>
    <t xml:space="preserve"> 61,6-68,914 86,650-100,600</t>
  </si>
  <si>
    <t xml:space="preserve">86,650-100,6 </t>
  </si>
  <si>
    <t>68,914-86,650 100,600-111,088</t>
  </si>
  <si>
    <t>70,0-86,650; 100,6-110,3</t>
  </si>
  <si>
    <t>2132</t>
  </si>
  <si>
    <t>0,000 - 22,500</t>
  </si>
  <si>
    <t>Ostrava hl.n. uhelné(včetně) - Frýdek-Místek (včetně)</t>
  </si>
  <si>
    <t>Ostrava hl.n. uhelné(včetně) - Frýdek-Místek (včetně žst.)</t>
  </si>
  <si>
    <t>0,000 - 9,225</t>
  </si>
  <si>
    <t>0,000 - 22,5</t>
  </si>
  <si>
    <t>Ostrava-Kunčice (32 ha)
Frýdedk Místek (10,9 ha)</t>
  </si>
  <si>
    <t>2141</t>
  </si>
  <si>
    <t>0,160 - 13,249</t>
  </si>
  <si>
    <t>Valašské Meziříčí (mimo) - Rožnov pod Radhoštěm (včetně)</t>
  </si>
  <si>
    <t>8,3-11,3</t>
  </si>
  <si>
    <t>0,160-8,3 11,3-13,249</t>
  </si>
  <si>
    <t>2161</t>
  </si>
  <si>
    <t>0,445 - 6,379</t>
  </si>
  <si>
    <t>Frýdlant nad Ostravicí (mimo) - Ostravice (včetně)</t>
  </si>
  <si>
    <t>2171</t>
  </si>
  <si>
    <t>1,586 - 25,841</t>
  </si>
  <si>
    <t>Studénka (mimo) - Veřovice (mimo)</t>
  </si>
  <si>
    <t>1,586 - 6,650</t>
  </si>
  <si>
    <t>1,586-6,800   6,800-25,841</t>
  </si>
  <si>
    <t>2,9 - 25,9</t>
  </si>
  <si>
    <t>2172</t>
  </si>
  <si>
    <t>0,703 - 2,904</t>
  </si>
  <si>
    <t>Sedlnice obvod triangl (mimo) - Mošnov, Ostrava Airport</t>
  </si>
  <si>
    <t>0,000 - 2,904</t>
  </si>
  <si>
    <t>2191</t>
  </si>
  <si>
    <t>0,440 - 86,719</t>
  </si>
  <si>
    <t>Olomouc hl.n. (mimo) - Krnov (mimo)</t>
  </si>
  <si>
    <t>0,440-86,719</t>
  </si>
  <si>
    <t>1,4 - 35,7 Olc
36,2 - 86,5 Ova</t>
  </si>
  <si>
    <t>2201</t>
  </si>
  <si>
    <t>62,545 - 100,855</t>
  </si>
  <si>
    <t>Nezamyslice (mimo) - Olomouc hl.n. (mimo)</t>
  </si>
  <si>
    <t>62,545-100,855</t>
  </si>
  <si>
    <t>2211</t>
  </si>
  <si>
    <t>0,021 - 34,054</t>
  </si>
  <si>
    <t>Olomouc hl.n. (mimo) - Čelechovice na Hané (včetně)</t>
  </si>
  <si>
    <t>7,3-22,530;  28,630-34,054</t>
  </si>
  <si>
    <t>2212</t>
  </si>
  <si>
    <t>0,242 - 2,765</t>
  </si>
  <si>
    <t>Kostelec na Hané (mimo) - Čelechovice na Hané (mimo)</t>
  </si>
  <si>
    <t>0,242-0,827</t>
  </si>
  <si>
    <t>0,827-2,765</t>
  </si>
  <si>
    <t>2221</t>
  </si>
  <si>
    <t>0,030 - 14,337</t>
  </si>
  <si>
    <t>Valšov (mimo) - Rýmařov (včetně)</t>
  </si>
  <si>
    <t>0,030-14,337</t>
  </si>
  <si>
    <t>2231</t>
  </si>
  <si>
    <t>0,418 - 17,300</t>
  </si>
  <si>
    <t>Bruntál (mimo) - Malá Morávka (včetně)</t>
  </si>
  <si>
    <t>0,418-17,300</t>
  </si>
  <si>
    <t>2241</t>
  </si>
  <si>
    <t>0,177 - 20,641</t>
  </si>
  <si>
    <t>Milotice nad Opavou (mimo) - Vrbno pod Pradědem (včetně)</t>
  </si>
  <si>
    <t>0,177-20,641</t>
  </si>
  <si>
    <t>2251</t>
  </si>
  <si>
    <t>262,416 - 290,395</t>
  </si>
  <si>
    <t>Ostrava-Svinov (mimo) - Opava východ (včetně žst.)</t>
  </si>
  <si>
    <t>262,416-290,395</t>
  </si>
  <si>
    <t>Opava východ (14 ha)</t>
  </si>
  <si>
    <t>2252</t>
  </si>
  <si>
    <t>86,719 - 115,526</t>
  </si>
  <si>
    <t>Krnov (včetně žst.) - Opava východ (mimo) včetně žst. Opava západ</t>
  </si>
  <si>
    <t>86,719-115,526</t>
  </si>
  <si>
    <t>100,9-115,42</t>
  </si>
  <si>
    <t>86,719-100,9</t>
  </si>
  <si>
    <t xml:space="preserve">Krnov (13 ha)    </t>
  </si>
  <si>
    <t>2253</t>
  </si>
  <si>
    <t>Krnov (mimo) - Głuchołazy (PKP) (mimo)</t>
  </si>
  <si>
    <t>0,000-25,694</t>
  </si>
  <si>
    <t>2261</t>
  </si>
  <si>
    <t>0,764 - 8,250</t>
  </si>
  <si>
    <t>Opava východ (mimo) - Hradec nad Moravicí (včetně)</t>
  </si>
  <si>
    <t>0,764-8,250</t>
  </si>
  <si>
    <t>2271</t>
  </si>
  <si>
    <t>2,726 - 25,300</t>
  </si>
  <si>
    <t>odb. Moravice (mimo) - Svobodné Heřmanice (včetně)</t>
  </si>
  <si>
    <t>2,726-25,300</t>
  </si>
  <si>
    <t>2,726 - 24,8</t>
  </si>
  <si>
    <t>24,8-25,3</t>
  </si>
  <si>
    <t>2281</t>
  </si>
  <si>
    <t>21,313 - 28,084</t>
  </si>
  <si>
    <t>Kravaře ve Slezsku (včetně) - Opava východ (mimo)</t>
  </si>
  <si>
    <t>20,600-28,084</t>
  </si>
  <si>
    <t>22,7 - 26,4</t>
  </si>
  <si>
    <t>20,6-22,7; 26,4-28,084</t>
  </si>
  <si>
    <t>2282</t>
  </si>
  <si>
    <t>0,184 - 15,029</t>
  </si>
  <si>
    <t>Kravaře ve Slezsku (mimo) - Hlučín (včetně)</t>
  </si>
  <si>
    <t>0,184-15,029</t>
  </si>
  <si>
    <t>2291</t>
  </si>
  <si>
    <t>11,326 - 21,349</t>
  </si>
  <si>
    <t>Chuchelná (včetně) - Kravaře ve Slezsku (mimo)</t>
  </si>
  <si>
    <t>11,326-20,600</t>
  </si>
  <si>
    <t>2301</t>
  </si>
  <si>
    <t>1,280 - 6,207</t>
  </si>
  <si>
    <t>Brno hl.n. (mimo) - Slatinská (mimo)</t>
  </si>
  <si>
    <t>1,280-6,207</t>
  </si>
  <si>
    <t>2302</t>
  </si>
  <si>
    <t>1,733 - 163,500</t>
  </si>
  <si>
    <t>Brno-Černovice zhl.Táborská - Vlárský průsmyk st.hr.</t>
  </si>
  <si>
    <t>1,733 - 17,085</t>
  </si>
  <si>
    <t>1,733-163,500</t>
  </si>
  <si>
    <t>Brno Slatina / 7 ha
Slavkov u B. / 5 ha
Kyjov / 10 ha
Bzenec / 5 ha</t>
  </si>
  <si>
    <t>2305</t>
  </si>
  <si>
    <t>0,728 - 2,468</t>
  </si>
  <si>
    <t>Blažovice (mimo) - Holubice (mimo)</t>
  </si>
  <si>
    <t>0,728-2,468</t>
  </si>
  <si>
    <t>Veselý n.M. / 17 ha</t>
  </si>
  <si>
    <t>2306</t>
  </si>
  <si>
    <t>78,128 - 80,229; 0,000 - 0,853</t>
  </si>
  <si>
    <t>Bzenec (mimo) - Moravský Písek (mimo)</t>
  </si>
  <si>
    <t xml:space="preserve"> 78,128-80,229      0,000-0,853</t>
  </si>
  <si>
    <t>2311</t>
  </si>
  <si>
    <t>0,069 - 5,076</t>
  </si>
  <si>
    <t>Nemotice (mimo) - Koryčany (včetně)</t>
  </si>
  <si>
    <t>0,069-5,076</t>
  </si>
  <si>
    <t>2331</t>
  </si>
  <si>
    <t>0,664 - 6,091</t>
  </si>
  <si>
    <t>Kunovice (mimo) - Staré Město u Uher. Hradiště</t>
  </si>
  <si>
    <t>0,664-6,091</t>
  </si>
  <si>
    <t>2341</t>
  </si>
  <si>
    <t>0,094 - 9,757</t>
  </si>
  <si>
    <t>Újezdec u Luhačovic (mimo) - Luhačovice (včetně)</t>
  </si>
  <si>
    <t>0,094-9,757</t>
  </si>
  <si>
    <t>1,0 - 9,8</t>
  </si>
  <si>
    <t>2351</t>
  </si>
  <si>
    <t>0,541 - 18,642</t>
  </si>
  <si>
    <t>Bylnice (mimo) - Horní Lideč (mimo)</t>
  </si>
  <si>
    <t>0,541-18,642</t>
  </si>
  <si>
    <t>2361</t>
  </si>
  <si>
    <t>0,000 - 43,487</t>
  </si>
  <si>
    <t>Hranice na Moravě (mimo) - Vsetín (mimo)</t>
  </si>
  <si>
    <t>0 - 37,6</t>
  </si>
  <si>
    <t>37,6-43,487</t>
  </si>
  <si>
    <t>Jablůnka - 5,2 ha</t>
  </si>
  <si>
    <t>2362</t>
  </si>
  <si>
    <t>18,642 - 38,378</t>
  </si>
  <si>
    <t>Horní Lideč (včetně) - Vsetín (včetně)</t>
  </si>
  <si>
    <t xml:space="preserve"> 18,642 - 38,378</t>
  </si>
  <si>
    <t>34,1-38,378</t>
  </si>
  <si>
    <t>18,642-34,1</t>
  </si>
  <si>
    <t>Val. Polanka - 7,7 ha</t>
  </si>
  <si>
    <t>2363</t>
  </si>
  <si>
    <t>21,110 - 27,261</t>
  </si>
  <si>
    <t>Púchov (ŽSR) (část) - Horní Lideč (mimo)</t>
  </si>
  <si>
    <t>21,110-27,261</t>
  </si>
  <si>
    <t>2371</t>
  </si>
  <si>
    <t>2,877 - 27,453</t>
  </si>
  <si>
    <t>Vsetín-Bečva (mimo) - Velké Karlovice (včetně)</t>
  </si>
  <si>
    <t>3,0-4,5, 8,2-12,0</t>
  </si>
  <si>
    <t>2,877-3,0  4,5-8,2 12-27,453</t>
  </si>
  <si>
    <t>2391</t>
  </si>
  <si>
    <t>0,760 - 17,184</t>
  </si>
  <si>
    <t>Veselí nad Moravou (mimo) - Skalica na Slovensku (ŽSR) (mimo)</t>
  </si>
  <si>
    <t>0,760-14,950</t>
  </si>
  <si>
    <t>2401</t>
  </si>
  <si>
    <t>77,992 - 180,958</t>
  </si>
  <si>
    <t>Hohenau (ÖBB) - Přerov (mimo) včetně žst. Břeclav</t>
  </si>
  <si>
    <t>Hohenau (ÖBB) - Přerov (mimo) včetně žst. Staré Město u UH, žst. Otrokovice a žst. Hulín</t>
  </si>
  <si>
    <t>86,200-131,3</t>
  </si>
  <si>
    <t>77,992-86,200; 131,3-180,958</t>
  </si>
  <si>
    <t>Břeclav / 40 ha</t>
  </si>
  <si>
    <t>2411</t>
  </si>
  <si>
    <t>0,510 - 5,078</t>
  </si>
  <si>
    <t>Rohatec (mimo) - Sudoměřice nad Moravou (mimo)</t>
  </si>
  <si>
    <t>0,510-1,160</t>
  </si>
  <si>
    <t>1,160-5,078</t>
  </si>
  <si>
    <t>2452</t>
  </si>
  <si>
    <t>0,667 - 6,131</t>
  </si>
  <si>
    <t>Hodonín (mimo) - Holíč nad Moravou (ŽSR) (mimo)</t>
  </si>
  <si>
    <t>0,667 - 3,009</t>
  </si>
  <si>
    <t>0,667-3,009</t>
  </si>
  <si>
    <t>2461</t>
  </si>
  <si>
    <t>0,158 - 24,861</t>
  </si>
  <si>
    <t>Otrokovice (mimo) - Vizovice (včetně)</t>
  </si>
  <si>
    <t>0,158-24,861</t>
  </si>
  <si>
    <t>2,0 - 24,4</t>
  </si>
  <si>
    <t>2501</t>
  </si>
  <si>
    <t>286,534 - 339,632</t>
  </si>
  <si>
    <t>Čadca (mimo) - Dětmarovice (mimo)</t>
  </si>
  <si>
    <t>310,600-313,100 317,300-320,500 326,700-332,500</t>
  </si>
  <si>
    <t>2505</t>
  </si>
  <si>
    <t>0,087 - 1,206</t>
  </si>
  <si>
    <t>odb. Koukolná (mimo) - odb. Závada (mimo)</t>
  </si>
  <si>
    <t>0,087-1,206</t>
  </si>
  <si>
    <t>2511</t>
  </si>
  <si>
    <t>0,480 - 5,280</t>
  </si>
  <si>
    <t>Petrovice u Karviné (mimo) - Karviná město (včetně)</t>
  </si>
  <si>
    <t>0,480-5,280</t>
  </si>
  <si>
    <t>2521</t>
  </si>
  <si>
    <t>0,757 - 28,355</t>
  </si>
  <si>
    <t>Český Těšín (mimo) - Ostrava-Kunčice (mimo)</t>
  </si>
  <si>
    <t>0,757-11,450</t>
  </si>
  <si>
    <t>11,450-28,355</t>
  </si>
  <si>
    <t xml:space="preserve">Havířov (15,5 ha)
Ostrava-Bartovice (10,8 ha)     </t>
  </si>
  <si>
    <t>2531</t>
  </si>
  <si>
    <t>111,796 - 136,756</t>
  </si>
  <si>
    <t>Frýdek-Místek (mimo) - Český Těšín (mimo)</t>
  </si>
  <si>
    <t>111,796-112,273</t>
  </si>
  <si>
    <t>112,273-136,756</t>
  </si>
  <si>
    <t>2532</t>
  </si>
  <si>
    <t>138,798 - 139,155</t>
  </si>
  <si>
    <t>Český Těšín (mimo) - Cieszyn (mimo)</t>
  </si>
  <si>
    <t>138,798-139,112</t>
  </si>
  <si>
    <t>2561</t>
  </si>
  <si>
    <t>31,074 - 38,987</t>
  </si>
  <si>
    <t>Ostrava-Kunčice (mimo) - Polanka nad Odrou (mimo)</t>
  </si>
  <si>
    <t>Ostrava-Vitkovice (10,2 ha)</t>
  </si>
  <si>
    <t>2562</t>
  </si>
  <si>
    <t>0,305 - 2,684</t>
  </si>
  <si>
    <t>Odra (mimo) - Ostrava-Svinov (mimo)</t>
  </si>
  <si>
    <t>0,305-2,684</t>
  </si>
  <si>
    <t>2791</t>
  </si>
  <si>
    <t>36,213 - 66,946</t>
  </si>
  <si>
    <t>Myjava (ŽSR) (mimo) - Veselí nad Moravou (mimo)</t>
  </si>
  <si>
    <t>44,685-66,946</t>
  </si>
  <si>
    <t>66,200-66,946</t>
  </si>
  <si>
    <t>2801</t>
  </si>
  <si>
    <t>0,625 - 11,395</t>
  </si>
  <si>
    <t>Břeclav (mimo) - Lanžhot st.hr.</t>
  </si>
  <si>
    <t>0,735-11,395</t>
  </si>
  <si>
    <t>km</t>
  </si>
  <si>
    <t>ks</t>
  </si>
  <si>
    <t>nad 6 ha</t>
  </si>
  <si>
    <t>nad 10 ha</t>
  </si>
  <si>
    <t>nad 20 ha</t>
  </si>
  <si>
    <t>nad 30 ha</t>
  </si>
  <si>
    <t>nad 40 ha</t>
  </si>
  <si>
    <t>0,022-14,2  53,7-101,354</t>
  </si>
  <si>
    <t>0,000-6,379</t>
  </si>
  <si>
    <t>celkem f1+f2</t>
  </si>
  <si>
    <t>celkem kolejí</t>
  </si>
  <si>
    <t>rozdíl</t>
  </si>
  <si>
    <t>87,660-89,620
90,720-99,560 100,900-198,120  222,300-267,713</t>
  </si>
  <si>
    <t>267,500-271,900 394,900-398,177 404,5-405,482</t>
  </si>
  <si>
    <t>0,538-11,680
22,030-91,692</t>
  </si>
  <si>
    <t>0,451-68,873</t>
  </si>
  <si>
    <t>85,666-105,557 114,946-133,497
138,176-139,600
141,350-143,769</t>
  </si>
  <si>
    <t>77,992-86,200 131,3-180,958</t>
  </si>
  <si>
    <t>0,022-14,2 16,1-18,2  33,1-35,2  41,9-46,8  48,3-48,7 53,7-101,354</t>
  </si>
  <si>
    <t>délka měření kontinuální metodou PPK</t>
  </si>
  <si>
    <t>km rozsah měření kontinuální metodou PPK</t>
  </si>
  <si>
    <t>délka měření kontinuální metodou PPK - mapování A</t>
  </si>
  <si>
    <t>km rozsah měření kontinuální metodou PPK - mapování A</t>
  </si>
  <si>
    <t>délka měření kontinuální metodou PPK-mapování B</t>
  </si>
  <si>
    <t>km rozsah měření kontinuální metodou PPK - mapování B</t>
  </si>
  <si>
    <t>délka úseků z celkového přeměření ŽBP, kde jsou ZZ</t>
  </si>
  <si>
    <t>rozsah úseků z celkového přeměření ŽBP, kde jsou ZZ</t>
  </si>
  <si>
    <t>Mladějov /16 ha, Chornice /5 ha</t>
  </si>
  <si>
    <t>Rozsah přeměření ŽBP s odečtením úseku pro stabilizaci</t>
  </si>
  <si>
    <t>Přeměření ŽBP celkem</t>
  </si>
  <si>
    <t>Kontinuální metodou PPK celkem</t>
  </si>
  <si>
    <t>délka pro přeměření ŽBP - tam, kde se nedělá nová stabilizace</t>
  </si>
  <si>
    <t>km rozsah přeměření ŽBP s odečtením úseku pro stabilizaci</t>
  </si>
  <si>
    <t>km rozsah úseků reambulace NYNÍ ARCHIV</t>
  </si>
  <si>
    <t>km rozsah pro dostabilizaci ŽBP</t>
  </si>
  <si>
    <t>délka přeměření ŽBP - tam, kde se nedělá nová stabilizace</t>
  </si>
  <si>
    <t>délka přeměření ŽBP - počet km dle MP007 kvůli stabilizaci</t>
  </si>
  <si>
    <t>délka nového mapování</t>
  </si>
  <si>
    <t xml:space="preserve">km rozsah nového mapování </t>
  </si>
  <si>
    <t>celkem</t>
  </si>
  <si>
    <t>délka reambulace - rozuměj přeměření jen osy a občas drobná změna(km)</t>
  </si>
  <si>
    <t>1,7-6,2             8,2-8,822</t>
  </si>
  <si>
    <t>11,680-22,030 39,173 - 91,692</t>
  </si>
  <si>
    <t>0,538-11,680
22,030-39,173</t>
  </si>
  <si>
    <t>2,4-2,8; 13,5-14,1; 15,5-16,1; 19,7-20,2;</t>
  </si>
  <si>
    <t>29,0-32,9; 36,0-42,3; 51,0-60,5;</t>
  </si>
  <si>
    <t>11-14,2</t>
  </si>
  <si>
    <t>11-14.2
30.3-32.5
52.5-53.1</t>
  </si>
  <si>
    <t>1,8-19,6</t>
  </si>
  <si>
    <t>93,580-123,190
133,220-135,650
136,886-141,400</t>
  </si>
  <si>
    <t>94,4-123,2; 137,5-141,1</t>
  </si>
  <si>
    <t>93,074-93,580
123,190-133,220
135,650-136,886
141,400-151,650</t>
  </si>
  <si>
    <t>123,6-135,1</t>
  </si>
  <si>
    <t>135,8-136,8</t>
  </si>
  <si>
    <t>135.8-136.8</t>
  </si>
  <si>
    <t>0,377-1,600</t>
  </si>
  <si>
    <t>7.7-10.0
13.9-16.6</t>
  </si>
  <si>
    <t>106-115</t>
  </si>
  <si>
    <t>86-91;115-116</t>
  </si>
  <si>
    <t>8,270-17,500 
19,500-85,600 
87,430-117,321</t>
  </si>
  <si>
    <t>115,0-115,9</t>
  </si>
  <si>
    <t>19,0-21,0
29,0-39,0
48,0-52,0
56,0-61,5
77,0-89,0
101,5-104,5</t>
  </si>
  <si>
    <t>0-8,6</t>
  </si>
  <si>
    <t>35,6-36,4; 38,5-39,3; 41,6-42,2; 44,4-44,9; 46,7-47,3; 48,2-49,2; 50,0-51,0; 53,7-63,4; 64,5-65,8; 68,8-69,4; 71,8-72,8; 75,0-75,7; 79,0-80,7; 83,9-85,2; 86,2-87,0; 89,7-92,7; 93,4-94,1;</t>
  </si>
  <si>
    <t xml:space="preserve">63,4-64,5; 65,8-68,8; 69,4-71,8; 72,8-75,0; 75,7-79,0; 80,7-83,9; 85,2-86,2; 87,0-89,7; 92,7-93,4; 94,1-94,3;
</t>
  </si>
  <si>
    <t>71.1-74.1
76.4-79.4
87.9-89.0</t>
  </si>
  <si>
    <t>108,4-124,9</t>
  </si>
  <si>
    <t>84,167-108,4; 124,9-126,857</t>
  </si>
  <si>
    <t>84.2-107.8</t>
  </si>
  <si>
    <t>0,561-24,0</t>
  </si>
  <si>
    <t>2,180-14,280
23,32-25,32
36,260-36,873</t>
  </si>
  <si>
    <t>0,459-2,180
 14,280-23,320
25,320-36,260</t>
  </si>
  <si>
    <t>0,5-1,0</t>
  </si>
  <si>
    <t>1,0-3,0</t>
  </si>
  <si>
    <t>44,7-46,0; 46,4-47,4; 48,2-50,2; 52,5-53,8; 55,2-55,9; 56,2-57,3; 57,4-58,1; 58,6-59,6; 61,0-62,4; 63,5-65,5;</t>
  </si>
  <si>
    <t>46,0-46,4; 47,4-48,2; 50,2-52,5; 53,8-55,2; 55,9-56,2; 57,3-57,4; 58,1-58,6; 59,6-61,0; 62,4-63,5; 65,5-66,9;</t>
  </si>
  <si>
    <t>87,660-89,620
90,720-99,560 
100,900-198,120  
222,300-267,713</t>
  </si>
  <si>
    <t>100,9-168,3</t>
  </si>
  <si>
    <t>87,7-100,8</t>
  </si>
  <si>
    <t>48,254-50,700
52,900-61,100
63,300-92,804</t>
  </si>
  <si>
    <t>81,7-82,4; 91,5-92,7</t>
  </si>
  <si>
    <t>11,2-31,2</t>
  </si>
  <si>
    <t>10,5-11,2; 31,2-31,848</t>
  </si>
  <si>
    <t>86,2-105,2</t>
  </si>
  <si>
    <t>78-86,2</t>
  </si>
  <si>
    <t>42,781 - 53,952</t>
  </si>
  <si>
    <t>42,781-53,952</t>
  </si>
  <si>
    <t>53,952-55,681</t>
  </si>
  <si>
    <t>55,681-57,240</t>
  </si>
  <si>
    <t>132,980 - 133,200</t>
  </si>
  <si>
    <t>132,980-149,100</t>
  </si>
  <si>
    <t>1,826-11,686</t>
  </si>
  <si>
    <t>1,826 - 11,686</t>
  </si>
  <si>
    <t>1,169-1,300
2,659-4,240</t>
  </si>
  <si>
    <t>1,300-2,659
4,240-39,443</t>
  </si>
  <si>
    <t>78,135-78,765 82,820-83,560 95,500-96,440 111,500-112,208</t>
  </si>
  <si>
    <t>276 - 277.5</t>
  </si>
  <si>
    <t>0.0 - 4.2</t>
  </si>
  <si>
    <t>286,534-310,600 313,100-317,300 325,100-326,700 332,500 -339,632</t>
  </si>
  <si>
    <t>112.162 - 130.702</t>
  </si>
  <si>
    <t>111.7 - 112.162; 130.702 - 137.9</t>
  </si>
  <si>
    <t>310,600-313,100 317,300-325,100 326,700-332,500</t>
  </si>
  <si>
    <t>361,478-458,961</t>
  </si>
  <si>
    <t>0,363-1,461</t>
  </si>
  <si>
    <t>21,195-21,400  25,075-34,080  34,578-39,754  42,723-45,700 47,100-47,338 50,151-53,263  53,797-61,000  64,615-69,500  71,200-71,410</t>
  </si>
  <si>
    <t>47 - 71</t>
  </si>
  <si>
    <t>97,6 - 101,987</t>
  </si>
  <si>
    <r>
      <t>Žižkov nákl.n. (</t>
    </r>
    <r>
      <rPr>
        <b/>
        <sz val="8"/>
        <rFont val="Verdana"/>
        <family val="2"/>
        <charset val="238"/>
      </rPr>
      <t>zrušená trať</t>
    </r>
    <r>
      <rPr>
        <sz val="8"/>
        <rFont val="Verdana"/>
        <family val="2"/>
        <charset val="238"/>
      </rPr>
      <t>)</t>
    </r>
  </si>
  <si>
    <t>6,4 - 45,5</t>
  </si>
  <si>
    <t>5,212-6,4; 45,5-46,199</t>
  </si>
  <si>
    <t>114,0 - 166,7</t>
  </si>
  <si>
    <t>166,7-184,102</t>
  </si>
  <si>
    <t>20-57,6</t>
  </si>
  <si>
    <t>57,600-58,071</t>
  </si>
  <si>
    <t>73,8 - 83,9</t>
  </si>
  <si>
    <t>34,5-51,5</t>
  </si>
  <si>
    <t>0-17,1; TU1363 31,0-31,5</t>
  </si>
  <si>
    <t>0-5; TU1363 31,0-31,5</t>
  </si>
  <si>
    <t>19,8-20,3; 0,090 - 4,574</t>
  </si>
  <si>
    <t>187,0-206</t>
  </si>
  <si>
    <t>27,8-61,5</t>
  </si>
  <si>
    <t>0-27,8</t>
  </si>
  <si>
    <t>0-13,249</t>
  </si>
  <si>
    <t>6,5-20,7</t>
  </si>
  <si>
    <t>37,5-40,0; 60,0-62,0; 75,0-86,0; 108,8-111; 121,5-124,6; 132,6-150,3; 161,6-161,7</t>
  </si>
  <si>
    <t>15,0-32,0 86,0-108,8 111-121,5 124,6-132,6 150,3-161,6 161,7-163,5</t>
  </si>
  <si>
    <t>2,877-27,453</t>
  </si>
  <si>
    <t>36,5-43,9</t>
  </si>
  <si>
    <t>18,6-34,2; 27,2 - 26,3</t>
  </si>
  <si>
    <t xml:space="preserve">0,022-14,2 
16,1-18,2
20,068 - 20,776
26,978 - 27,592
33,1-35,2
37,721 - 38,634  
41,9-46,8  
48,3-48,7 
53,7-101,354 </t>
  </si>
  <si>
    <t>14,200-16,1
18,2-20,068
20,776-26,978
27,592-33,1
35,2-37,721
38,634-41,9
46,800-48,300 48,700-53,700</t>
  </si>
  <si>
    <t>-</t>
  </si>
  <si>
    <t>271,300-273,900
343,500-347,302</t>
  </si>
  <si>
    <t>271,300-273,900 343,500-347,302</t>
  </si>
  <si>
    <t>271,337-273,294</t>
  </si>
  <si>
    <t>0,229-0,7
3,9 - 6,8
9,97 - 11,25
16,4-18,7
23,6 - 24,23</t>
  </si>
  <si>
    <t>4,672-6,808
16,078-17,396
22,221-23,924</t>
  </si>
  <si>
    <t>0,700-3,900
6,8-9,97
11,25-16,4
18,7-23,6</t>
  </si>
  <si>
    <t>1,9-8,5
12,309-14,62
18,550- 18,850 
27,366 - 27,725
36,4-39,5
44,5-45,656
61,679 - 62,111
65,6-65,886
69,543-69,981</t>
  </si>
  <si>
    <t>0-1,9
8,5-12,309
14,62-18,55
18,850-27,366
27,725-36,4
39,5-44,5
45,656-61,679
62,111-65,6
65,886-69,543</t>
  </si>
  <si>
    <t>8,110-9,517</t>
  </si>
  <si>
    <t>7,914-9,971
18,025-18,515
19,063-20,940</t>
  </si>
  <si>
    <t>46,1-48,3
66,427-68,873</t>
  </si>
  <si>
    <t>0,451-45,710; 45,710-46,100
48,3-66,427</t>
  </si>
  <si>
    <t>0,451-45,710; 45,710-46,100
48,3-53,783 57,069-62,380 63,411 66,427</t>
  </si>
  <si>
    <t>1,0-7,0</t>
  </si>
  <si>
    <t>0,304-113,251</t>
  </si>
  <si>
    <t>245,284-344,000</t>
  </si>
  <si>
    <t>Pardubice Rosice (včetně) - Hradec Králové (včetně)</t>
  </si>
  <si>
    <t>39,179-91,692</t>
  </si>
  <si>
    <t>240,513-240,833 0,000-1,055</t>
  </si>
  <si>
    <t>267,500-271,900 394,900-398,177</t>
  </si>
  <si>
    <t>267,500-271,900</t>
  </si>
  <si>
    <t>stavba ŽST PCE</t>
  </si>
  <si>
    <t>5,2-30,3 30,3-83,5</t>
  </si>
  <si>
    <t>1,1-1,4; 2,1-2,4; 4,5-5,0</t>
  </si>
  <si>
    <t>9,0-10,2; 24,2-24,4; 46,7-46,9</t>
  </si>
  <si>
    <t>9,7-10,2; 15,0-15,5; 20,7-21,0; 26,0-26,3</t>
  </si>
  <si>
    <t>15.0-17.1
24.0-32.0
37.5-40.0 OLC 89,9-90,4; 95,8-96,8; 115,5-119,1; 129,0-130,3; 148,1-149,1; 154,1-155,1; 157,2-158,5; 162,5-163,5</t>
  </si>
  <si>
    <t>4,7-9,7</t>
  </si>
  <si>
    <t>0,5-2,7</t>
  </si>
  <si>
    <t>vše</t>
  </si>
  <si>
    <t>subtotal</t>
  </si>
  <si>
    <t>0- 25,694</t>
  </si>
  <si>
    <t>0,3- 62</t>
  </si>
  <si>
    <t>10,6-14,739</t>
  </si>
  <si>
    <t>0-5,1</t>
  </si>
  <si>
    <t>Měřit ŽBP celkem ve fázi</t>
  </si>
  <si>
    <t>Měřit ŽBP celkem v obou fázích</t>
  </si>
  <si>
    <t>délka TÚ (dle sloupce B)</t>
  </si>
  <si>
    <t>délka TÚ (dle sloupce J a Z)</t>
  </si>
  <si>
    <t>rozdíl D-A</t>
  </si>
  <si>
    <t>0,234 -49,117</t>
  </si>
  <si>
    <t>0,167-0,200
 0,600-7,13
 7,5-9,5
 10,500-11,300
 11,55-15,8
  16,000-18,400
  18,530-20,000
 20,550-21,300
 21,900-22,185</t>
  </si>
  <si>
    <t>0,533-48,254
50,700-52,900
61,100-63,300</t>
  </si>
  <si>
    <t>0,703-2,904</t>
  </si>
  <si>
    <t>0,6-7,6</t>
  </si>
  <si>
    <t>28,9-30,4</t>
  </si>
  <si>
    <t>0,6-2,8
3,8-11,2
11,8-13,4
14,7-19,3
20,7-22,9</t>
  </si>
  <si>
    <t>0,376-10,5</t>
  </si>
  <si>
    <t>0,304 - 58,800; 60,000 - 71,100; 72,2 - 80,100; 82,600 - 83,400; 89,400 - 113,251</t>
  </si>
  <si>
    <t>0,454 - 15,609</t>
  </si>
  <si>
    <t>0,465 - 19,694</t>
  </si>
  <si>
    <t>0,305-13</t>
  </si>
  <si>
    <t>1,643-10,600</t>
  </si>
  <si>
    <t>0,222-62,089</t>
  </si>
  <si>
    <t>0,017 - 4,337</t>
  </si>
  <si>
    <t>5,2-83,5</t>
  </si>
  <si>
    <t>30,9-84,5</t>
  </si>
  <si>
    <t>5,2 -83,5</t>
  </si>
  <si>
    <t>0,507-13,827
12,110-45,574</t>
  </si>
  <si>
    <t>23,701-27,800</t>
  </si>
  <si>
    <t>45,574-49,766
45,700-47,020
49,220-65,712</t>
  </si>
  <si>
    <t>53,952 - 57,240</t>
  </si>
  <si>
    <t>132,938 - 149,100</t>
  </si>
  <si>
    <t>20,127-20,650
22,300-29,014</t>
  </si>
  <si>
    <t>10,768-20,127
20,650-22,300</t>
  </si>
  <si>
    <t>0,148-11,700
15,300-16,824</t>
  </si>
  <si>
    <t>17,400-18,400
26,960-27,660
28,620-28,990
29,785-30,870
34,060-34,850
38,830-40,111</t>
  </si>
  <si>
    <t>1,786-17,400
18,400-26,960
27,660-28,620
28,990-29,785
30,870-34,060
34,850-38,830</t>
  </si>
  <si>
    <t>0,293-10,768</t>
  </si>
  <si>
    <t>(1,0 - 97,6)</t>
  </si>
  <si>
    <t>47,520-78,135
78,765-82,820
83,560-95,500
96,440-111,500
112,208-117,761</t>
  </si>
  <si>
    <t>0,672 - 124,294</t>
  </si>
  <si>
    <t>14,687-21,195
21,400-25,075
34,080-34,578
39,754-42,723
45,700-47,100
47,338-50,151
61,000-64,615
69,500-71,200
71,410-73,248</t>
  </si>
  <si>
    <t>0,089-1,7        6,2-8,2</t>
  </si>
  <si>
    <t>0,0-10,5</t>
  </si>
  <si>
    <t>0,021-7,3;  22,530-28,630</t>
  </si>
  <si>
    <t>0,021-7,3;  22,530-28,620</t>
  </si>
  <si>
    <t>0,0-0,7; 1,2-1,6;</t>
  </si>
  <si>
    <t>0,158-2,0 24,4-24,861</t>
  </si>
  <si>
    <t xml:space="preserve"> 6,3-7,1; 9,7-12,2; 23,1-23,6; 32,2-32,9</t>
  </si>
  <si>
    <t>180,958-193,3 198,8-206,0 207,4-213,900 221,000-233,500 248,900-263,200 283,218-292,602 213,9-221</t>
  </si>
  <si>
    <t xml:space="preserve">180,958-193,3 198,8-206,0 207,4-213,900 </t>
  </si>
  <si>
    <t>180,958-193,3 198,8-206,0 207,4-212,6</t>
  </si>
  <si>
    <t>212,6-213,900 221,000-233,500 248,900-263,200 283,218-292,602 213,9-221</t>
  </si>
  <si>
    <t xml:space="preserve"> 61,6-68,914</t>
  </si>
  <si>
    <t>86,650-100,600</t>
  </si>
  <si>
    <t>0,44-35,848</t>
  </si>
  <si>
    <t>35,848 - 86,5 Ova</t>
  </si>
  <si>
    <t>233,500 -248,900  263,200 -283,218</t>
  </si>
  <si>
    <t>193,3-198,8 206,000-207,400   233,500 -248,900  263,200 -283,218</t>
  </si>
  <si>
    <t>29,4-76,331</t>
  </si>
  <si>
    <t>44,685-66,200</t>
  </si>
  <si>
    <t>Nové mapování</t>
  </si>
  <si>
    <t>Reambulace</t>
  </si>
  <si>
    <t>Břeclav (mimo) - Hrušovany nad Jevišovkou (včetně)</t>
  </si>
  <si>
    <t>Ostrava-Svinov (mimo) - Opava východ (včetně)</t>
  </si>
  <si>
    <t>Krnov (včetně) - Opava východ (mimo)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</si>
</sst>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#,##0.0"/>
  </numFmts>
  <fonts count="21" x14ac:knownFonts="1"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6100"/>
      <name val="Verdana"/>
      <family val="2"/>
      <charset val="238"/>
    </font>
    <font>
      <sz val="10"/>
      <color rgb="FF9C0006"/>
      <name val="Verdana"/>
      <family val="2"/>
      <charset val="238"/>
    </font>
    <font>
      <b/>
      <sz val="10"/>
      <color theme="0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rgb="FFFF0000"/>
      <name val="Verdana"/>
      <family val="2"/>
      <charset val="238"/>
    </font>
    <font>
      <sz val="10"/>
      <color indexed="8"/>
      <name val="Arial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rgb="FFFF0000"/>
      <name val="Verdana"/>
      <family val="2"/>
      <charset val="238"/>
    </font>
    <font>
      <b/>
      <sz val="8"/>
      <color rgb="FFFF0000"/>
      <name val="Verdana"/>
      <family val="2"/>
      <charset val="238"/>
    </font>
    <font>
      <strike/>
      <sz val="8"/>
      <name val="Verdana"/>
      <family val="2"/>
      <charset val="238"/>
    </font>
    <font>
      <strike/>
      <sz val="8"/>
      <color theme="1"/>
      <name val="Verdana"/>
      <family val="2"/>
      <charset val="238"/>
    </font>
    <font>
      <sz val="8"/>
      <color theme="0" tint="-0.14999847407452621"/>
      <name val="Verdana"/>
      <family val="2"/>
      <charset val="238"/>
    </font>
    <font>
      <b/>
      <sz val="8"/>
      <color theme="0" tint="-0.14999847407452621"/>
      <name val="Verdana"/>
      <family val="2"/>
      <charset val="238"/>
    </font>
    <font>
      <sz val="7"/>
      <color theme="0" tint="-0.14999847407452621"/>
      <name val="Verdana"/>
      <family val="2"/>
      <charset val="238"/>
    </font>
    <font>
      <sz val="8"/>
      <color rgb="FF0070C0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8" fillId="0" borderId="0"/>
  </cellStyleXfs>
  <cellXfs count="695">
    <xf numFmtId="0" fontId="0" fillId="0" borderId="0" xfId="0"/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" fontId="7" fillId="6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>
      <alignment horizontal="center" vertical="center" wrapText="1"/>
    </xf>
    <xf numFmtId="164" fontId="7" fillId="7" borderId="3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5" borderId="8" xfId="5" applyFont="1" applyFill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49" fontId="9" fillId="0" borderId="9" xfId="5" applyNumberFormat="1" applyFont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165" fontId="5" fillId="6" borderId="14" xfId="0" applyNumberFormat="1" applyFont="1" applyFill="1" applyBorder="1" applyAlignment="1">
      <alignment horizontal="center" vertical="center" wrapText="1"/>
    </xf>
    <xf numFmtId="165" fontId="6" fillId="6" borderId="14" xfId="0" applyNumberFormat="1" applyFont="1" applyFill="1" applyBorder="1" applyAlignment="1">
      <alignment horizontal="center" vertical="center" wrapText="1"/>
    </xf>
    <xf numFmtId="165" fontId="5" fillId="6" borderId="16" xfId="0" applyNumberFormat="1" applyFont="1" applyFill="1" applyBorder="1" applyAlignment="1">
      <alignment horizontal="center" vertical="center" wrapText="1"/>
    </xf>
    <xf numFmtId="1" fontId="5" fillId="6" borderId="16" xfId="0" applyNumberFormat="1" applyFont="1" applyFill="1" applyBorder="1" applyAlignment="1">
      <alignment horizontal="center" vertical="center" wrapText="1"/>
    </xf>
    <xf numFmtId="166" fontId="5" fillId="7" borderId="15" xfId="0" applyNumberFormat="1" applyFont="1" applyFill="1" applyBorder="1" applyAlignment="1">
      <alignment horizontal="center" vertical="center" wrapText="1"/>
    </xf>
    <xf numFmtId="166" fontId="5" fillId="7" borderId="14" xfId="0" applyNumberFormat="1" applyFont="1" applyFill="1" applyBorder="1" applyAlignment="1">
      <alignment horizontal="center" vertical="center" wrapText="1"/>
    </xf>
    <xf numFmtId="164" fontId="5" fillId="7" borderId="15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center" vertical="center" wrapText="1"/>
    </xf>
    <xf numFmtId="165" fontId="6" fillId="6" borderId="12" xfId="0" applyNumberFormat="1" applyFont="1" applyFill="1" applyBorder="1" applyAlignment="1">
      <alignment horizontal="center" vertical="center" wrapText="1"/>
    </xf>
    <xf numFmtId="165" fontId="6" fillId="6" borderId="21" xfId="0" applyNumberFormat="1" applyFont="1" applyFill="1" applyBorder="1" applyAlignment="1">
      <alignment horizontal="center" vertical="center" wrapText="1"/>
    </xf>
    <xf numFmtId="1" fontId="6" fillId="6" borderId="21" xfId="0" applyNumberFormat="1" applyFont="1" applyFill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6" fillId="6" borderId="12" xfId="0" applyNumberFormat="1" applyFont="1" applyFill="1" applyBorder="1" applyAlignment="1">
      <alignment horizontal="center" vertical="center" wrapText="1" shrinkToFit="1"/>
    </xf>
    <xf numFmtId="165" fontId="6" fillId="6" borderId="21" xfId="0" applyNumberFormat="1" applyFont="1" applyFill="1" applyBorder="1" applyAlignment="1">
      <alignment horizontal="center" vertical="center" wrapText="1" shrinkToFit="1"/>
    </xf>
    <xf numFmtId="1" fontId="6" fillId="6" borderId="21" xfId="0" applyNumberFormat="1" applyFont="1" applyFill="1" applyBorder="1" applyAlignment="1">
      <alignment horizontal="center" vertical="center" wrapText="1" shrinkToFit="1"/>
    </xf>
    <xf numFmtId="166" fontId="6" fillId="5" borderId="20" xfId="0" applyNumberFormat="1" applyFont="1" applyFill="1" applyBorder="1" applyAlignment="1">
      <alignment horizontal="center" vertical="center" wrapText="1"/>
    </xf>
    <xf numFmtId="1" fontId="6" fillId="5" borderId="20" xfId="0" applyNumberFormat="1" applyFont="1" applyFill="1" applyBorder="1" applyAlignment="1">
      <alignment horizontal="center" vertical="center" wrapText="1"/>
    </xf>
    <xf numFmtId="164" fontId="6" fillId="5" borderId="20" xfId="0" applyNumberFormat="1" applyFont="1" applyFill="1" applyBorder="1" applyAlignment="1">
      <alignment horizontal="center" vertical="center" wrapText="1"/>
    </xf>
    <xf numFmtId="165" fontId="5" fillId="6" borderId="21" xfId="0" applyNumberFormat="1" applyFont="1" applyFill="1" applyBorder="1" applyAlignment="1">
      <alignment horizontal="center" vertical="center" wrapText="1"/>
    </xf>
    <xf numFmtId="1" fontId="5" fillId="6" borderId="21" xfId="0" applyNumberFormat="1" applyFont="1" applyFill="1" applyBorder="1" applyAlignment="1">
      <alignment horizontal="center" vertical="center" wrapText="1"/>
    </xf>
    <xf numFmtId="1" fontId="5" fillId="6" borderId="12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6" fontId="6" fillId="7" borderId="21" xfId="0" applyNumberFormat="1" applyFont="1" applyFill="1" applyBorder="1" applyAlignment="1">
      <alignment horizontal="center" vertical="center" wrapText="1"/>
    </xf>
    <xf numFmtId="166" fontId="6" fillId="7" borderId="20" xfId="0" applyNumberFormat="1" applyFont="1" applyFill="1" applyBorder="1" applyAlignment="1">
      <alignment horizontal="center" vertical="center" wrapText="1"/>
    </xf>
    <xf numFmtId="166" fontId="5" fillId="7" borderId="23" xfId="0" applyNumberFormat="1" applyFont="1" applyFill="1" applyBorder="1" applyAlignment="1">
      <alignment horizontal="center" vertical="center" wrapText="1"/>
    </xf>
    <xf numFmtId="1" fontId="6" fillId="7" borderId="20" xfId="0" applyNumberFormat="1" applyFont="1" applyFill="1" applyBorder="1" applyAlignment="1">
      <alignment horizontal="center" vertical="center" wrapText="1"/>
    </xf>
    <xf numFmtId="164" fontId="6" fillId="7" borderId="20" xfId="0" applyNumberFormat="1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center" vertical="center" wrapText="1" shrinkToFit="1"/>
    </xf>
    <xf numFmtId="1" fontId="5" fillId="6" borderId="12" xfId="0" applyNumberFormat="1" applyFont="1" applyFill="1" applyBorder="1" applyAlignment="1">
      <alignment horizontal="center" vertical="center" wrapText="1" shrinkToFit="1"/>
    </xf>
    <xf numFmtId="165" fontId="5" fillId="7" borderId="12" xfId="0" applyNumberFormat="1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vertical="center" wrapText="1"/>
    </xf>
    <xf numFmtId="164" fontId="5" fillId="7" borderId="12" xfId="0" applyNumberFormat="1" applyFont="1" applyFill="1" applyBorder="1" applyAlignment="1">
      <alignment horizontal="center" vertical="center" wrapText="1"/>
    </xf>
    <xf numFmtId="165" fontId="5" fillId="6" borderId="21" xfId="0" applyNumberFormat="1" applyFont="1" applyFill="1" applyBorder="1" applyAlignment="1">
      <alignment horizontal="center" vertical="center" wrapText="1" shrinkToFit="1"/>
    </xf>
    <xf numFmtId="1" fontId="5" fillId="6" borderId="21" xfId="0" applyNumberFormat="1" applyFont="1" applyFill="1" applyBorder="1" applyAlignment="1">
      <alignment horizontal="center" vertical="center" wrapText="1" shrinkToFit="1"/>
    </xf>
    <xf numFmtId="165" fontId="6" fillId="0" borderId="12" xfId="0" applyNumberFormat="1" applyFont="1" applyBorder="1" applyAlignment="1">
      <alignment horizontal="center" vertical="center" wrapText="1" shrinkToFit="1"/>
    </xf>
    <xf numFmtId="166" fontId="5" fillId="0" borderId="20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" fontId="6" fillId="6" borderId="12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" fontId="6" fillId="6" borderId="12" xfId="0" applyNumberFormat="1" applyFont="1" applyFill="1" applyBorder="1" applyAlignment="1">
      <alignment horizontal="center" vertical="center" wrapText="1" shrinkToFit="1"/>
    </xf>
    <xf numFmtId="165" fontId="6" fillId="7" borderId="12" xfId="0" applyNumberFormat="1" applyFont="1" applyFill="1" applyBorder="1" applyAlignment="1">
      <alignment horizontal="center" vertical="center" wrapText="1"/>
    </xf>
    <xf numFmtId="165" fontId="6" fillId="7" borderId="12" xfId="0" applyNumberFormat="1" applyFont="1" applyFill="1" applyBorder="1" applyAlignment="1">
      <alignment horizontal="center" vertical="center" wrapText="1" shrinkToFit="1"/>
    </xf>
    <xf numFmtId="1" fontId="6" fillId="7" borderId="12" xfId="0" applyNumberFormat="1" applyFont="1" applyFill="1" applyBorder="1" applyAlignment="1">
      <alignment horizontal="center" vertical="center" wrapText="1" shrinkToFit="1"/>
    </xf>
    <xf numFmtId="164" fontId="6" fillId="7" borderId="12" xfId="0" applyNumberFormat="1" applyFont="1" applyFill="1" applyBorder="1" applyAlignment="1">
      <alignment horizontal="center" vertical="center" wrapText="1" shrinkToFit="1"/>
    </xf>
    <xf numFmtId="0" fontId="6" fillId="6" borderId="12" xfId="0" applyFont="1" applyFill="1" applyBorder="1" applyAlignment="1">
      <alignment horizontal="center" vertical="center" wrapText="1"/>
    </xf>
    <xf numFmtId="166" fontId="6" fillId="7" borderId="12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64" fontId="6" fillId="7" borderId="12" xfId="0" applyNumberFormat="1" applyFont="1" applyFill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 wrapText="1"/>
    </xf>
    <xf numFmtId="166" fontId="5" fillId="7" borderId="20" xfId="0" applyNumberFormat="1" applyFont="1" applyFill="1" applyBorder="1" applyAlignment="1">
      <alignment horizontal="center" vertical="center" wrapText="1"/>
    </xf>
    <xf numFmtId="164" fontId="5" fillId="7" borderId="20" xfId="0" applyNumberFormat="1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>
      <alignment horizontal="center" vertical="center" wrapText="1"/>
    </xf>
    <xf numFmtId="165" fontId="6" fillId="7" borderId="0" xfId="0" applyNumberFormat="1" applyFont="1" applyFill="1" applyAlignment="1">
      <alignment horizontal="center" vertical="center" wrapText="1"/>
    </xf>
    <xf numFmtId="165" fontId="5" fillId="7" borderId="12" xfId="0" applyNumberFormat="1" applyFont="1" applyFill="1" applyBorder="1" applyAlignment="1">
      <alignment horizontal="center" vertical="center" wrapText="1" shrinkToFit="1"/>
    </xf>
    <xf numFmtId="1" fontId="5" fillId="7" borderId="12" xfId="0" applyNumberFormat="1" applyFont="1" applyFill="1" applyBorder="1" applyAlignment="1">
      <alignment horizontal="center" vertical="center" wrapText="1" shrinkToFit="1"/>
    </xf>
    <xf numFmtId="164" fontId="5" fillId="7" borderId="12" xfId="0" applyNumberFormat="1" applyFont="1" applyFill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 wrapText="1"/>
    </xf>
    <xf numFmtId="164" fontId="6" fillId="6" borderId="21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 shrinkToFit="1"/>
    </xf>
    <xf numFmtId="164" fontId="6" fillId="0" borderId="12" xfId="0" applyNumberFormat="1" applyFont="1" applyBorder="1" applyAlignment="1">
      <alignment horizontal="center" vertical="center" wrapText="1" shrinkToFit="1"/>
    </xf>
    <xf numFmtId="166" fontId="5" fillId="7" borderId="12" xfId="0" applyNumberFormat="1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164" fontId="6" fillId="7" borderId="21" xfId="0" applyNumberFormat="1" applyFont="1" applyFill="1" applyBorder="1" applyAlignment="1">
      <alignment horizontal="center" vertical="center" wrapText="1"/>
    </xf>
    <xf numFmtId="165" fontId="5" fillId="7" borderId="12" xfId="3" applyNumberFormat="1" applyFont="1" applyFill="1" applyBorder="1" applyAlignment="1">
      <alignment horizontal="center" vertical="center" wrapText="1"/>
    </xf>
    <xf numFmtId="1" fontId="5" fillId="7" borderId="12" xfId="3" applyNumberFormat="1" applyFont="1" applyFill="1" applyBorder="1" applyAlignment="1">
      <alignment horizontal="center" vertical="center" wrapText="1"/>
    </xf>
    <xf numFmtId="164" fontId="5" fillId="7" borderId="12" xfId="3" applyNumberFormat="1" applyFont="1" applyFill="1" applyBorder="1" applyAlignment="1">
      <alignment horizontal="center" vertical="center" wrapText="1"/>
    </xf>
    <xf numFmtId="165" fontId="5" fillId="6" borderId="12" xfId="3" applyNumberFormat="1" applyFont="1" applyFill="1" applyBorder="1" applyAlignment="1">
      <alignment horizontal="center" vertical="center" wrapText="1"/>
    </xf>
    <xf numFmtId="165" fontId="5" fillId="6" borderId="21" xfId="3" applyNumberFormat="1" applyFont="1" applyFill="1" applyBorder="1" applyAlignment="1">
      <alignment horizontal="center" vertical="center" wrapText="1"/>
    </xf>
    <xf numFmtId="1" fontId="5" fillId="6" borderId="21" xfId="3" applyNumberFormat="1" applyFont="1" applyFill="1" applyBorder="1" applyAlignment="1">
      <alignment horizontal="center" vertical="center" wrapText="1"/>
    </xf>
    <xf numFmtId="165" fontId="6" fillId="5" borderId="12" xfId="0" applyNumberFormat="1" applyFont="1" applyFill="1" applyBorder="1" applyAlignment="1">
      <alignment horizontal="center" vertical="center" wrapText="1"/>
    </xf>
    <xf numFmtId="164" fontId="5" fillId="7" borderId="21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5" fillId="11" borderId="20" xfId="0" applyFont="1" applyFill="1" applyBorder="1" applyAlignment="1">
      <alignment horizontal="center" vertical="center" wrapText="1" shrinkToFit="1"/>
    </xf>
    <xf numFmtId="166" fontId="6" fillId="7" borderId="12" xfId="0" applyNumberFormat="1" applyFont="1" applyFill="1" applyBorder="1" applyAlignment="1">
      <alignment horizontal="center" vertical="center" wrapText="1" shrinkToFit="1"/>
    </xf>
    <xf numFmtId="1" fontId="6" fillId="7" borderId="21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166" fontId="5" fillId="6" borderId="20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64" fontId="6" fillId="6" borderId="21" xfId="0" applyNumberFormat="1" applyFont="1" applyFill="1" applyBorder="1" applyAlignment="1">
      <alignment horizontal="center" vertical="center" wrapText="1" shrinkToFit="1"/>
    </xf>
    <xf numFmtId="165" fontId="5" fillId="6" borderId="12" xfId="3" applyNumberFormat="1" applyFont="1" applyFill="1" applyBorder="1" applyAlignment="1">
      <alignment horizontal="center" vertical="center" wrapText="1" shrinkToFit="1"/>
    </xf>
    <xf numFmtId="165" fontId="5" fillId="6" borderId="21" xfId="3" applyNumberFormat="1" applyFont="1" applyFill="1" applyBorder="1" applyAlignment="1">
      <alignment horizontal="center" vertical="center" wrapText="1" shrinkToFit="1"/>
    </xf>
    <xf numFmtId="1" fontId="5" fillId="6" borderId="21" xfId="3" applyNumberFormat="1" applyFont="1" applyFill="1" applyBorder="1" applyAlignment="1">
      <alignment horizontal="center" vertical="center" wrapText="1" shrinkToFit="1"/>
    </xf>
    <xf numFmtId="1" fontId="5" fillId="6" borderId="12" xfId="3" applyNumberFormat="1" applyFont="1" applyFill="1" applyBorder="1" applyAlignment="1">
      <alignment horizontal="center" vertical="center" wrapText="1"/>
    </xf>
    <xf numFmtId="165" fontId="5" fillId="7" borderId="12" xfId="2" applyNumberFormat="1" applyFont="1" applyFill="1" applyBorder="1" applyAlignment="1">
      <alignment horizontal="center" vertical="center" wrapText="1"/>
    </xf>
    <xf numFmtId="1" fontId="5" fillId="7" borderId="12" xfId="2" applyNumberFormat="1" applyFont="1" applyFill="1" applyBorder="1" applyAlignment="1">
      <alignment horizontal="center" vertical="center" wrapText="1"/>
    </xf>
    <xf numFmtId="164" fontId="5" fillId="7" borderId="12" xfId="2" applyNumberFormat="1" applyFont="1" applyFill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5" fontId="5" fillId="0" borderId="12" xfId="3" applyNumberFormat="1" applyFont="1" applyFill="1" applyBorder="1" applyAlignment="1">
      <alignment horizontal="center" vertical="center" wrapText="1"/>
    </xf>
    <xf numFmtId="165" fontId="5" fillId="0" borderId="21" xfId="3" applyNumberFormat="1" applyFont="1" applyFill="1" applyBorder="1" applyAlignment="1">
      <alignment horizontal="center" vertical="center" wrapText="1"/>
    </xf>
    <xf numFmtId="1" fontId="5" fillId="0" borderId="21" xfId="3" applyNumberFormat="1" applyFont="1" applyFill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4" fillId="0" borderId="12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65" fontId="6" fillId="6" borderId="23" xfId="0" applyNumberFormat="1" applyFont="1" applyFill="1" applyBorder="1" applyAlignment="1">
      <alignment horizontal="center" vertical="center" wrapText="1"/>
    </xf>
    <xf numFmtId="165" fontId="6" fillId="6" borderId="17" xfId="0" applyNumberFormat="1" applyFont="1" applyFill="1" applyBorder="1" applyAlignment="1">
      <alignment horizontal="center" vertical="center" wrapText="1"/>
    </xf>
    <xf numFmtId="1" fontId="6" fillId="6" borderId="17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 wrapText="1"/>
    </xf>
    <xf numFmtId="1" fontId="5" fillId="0" borderId="28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6" fillId="0" borderId="19" xfId="0" applyFont="1" applyBorder="1" applyAlignment="1">
      <alignment horizontal="center" vertical="center" wrapText="1"/>
    </xf>
    <xf numFmtId="165" fontId="5" fillId="10" borderId="12" xfId="0" applyNumberFormat="1" applyFont="1" applyFill="1" applyBorder="1" applyAlignment="1">
      <alignment horizontal="center" vertical="center" wrapText="1"/>
    </xf>
    <xf numFmtId="165" fontId="6" fillId="10" borderId="12" xfId="0" applyNumberFormat="1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" fontId="15" fillId="13" borderId="0" xfId="0" applyNumberFormat="1" applyFont="1" applyFill="1" applyAlignment="1">
      <alignment horizontal="center" vertical="center" wrapText="1"/>
    </xf>
    <xf numFmtId="49" fontId="15" fillId="13" borderId="0" xfId="0" applyNumberFormat="1" applyFont="1" applyFill="1" applyAlignment="1">
      <alignment horizontal="center" vertical="center" wrapText="1"/>
    </xf>
    <xf numFmtId="0" fontId="15" fillId="13" borderId="0" xfId="0" applyFont="1" applyFill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1" fontId="16" fillId="13" borderId="9" xfId="0" applyNumberFormat="1" applyFont="1" applyFill="1" applyBorder="1" applyAlignment="1">
      <alignment horizontal="center" vertical="center" textRotation="90" wrapText="1"/>
    </xf>
    <xf numFmtId="49" fontId="16" fillId="13" borderId="9" xfId="0" applyNumberFormat="1" applyFont="1" applyFill="1" applyBorder="1" applyAlignment="1">
      <alignment horizontal="center" vertical="center" textRotation="90" wrapText="1"/>
    </xf>
    <xf numFmtId="49" fontId="16" fillId="13" borderId="11" xfId="0" applyNumberFormat="1" applyFont="1" applyFill="1" applyBorder="1" applyAlignment="1">
      <alignment horizontal="center" vertical="center" textRotation="90" wrapText="1"/>
    </xf>
    <xf numFmtId="165" fontId="16" fillId="13" borderId="3" xfId="0" applyNumberFormat="1" applyFont="1" applyFill="1" applyBorder="1" applyAlignment="1">
      <alignment horizontal="center" vertical="center" textRotation="90" wrapText="1"/>
    </xf>
    <xf numFmtId="165" fontId="16" fillId="13" borderId="0" xfId="0" applyNumberFormat="1" applyFont="1" applyFill="1" applyAlignment="1">
      <alignment horizontal="center" vertical="center" textRotation="90" wrapText="1"/>
    </xf>
    <xf numFmtId="0" fontId="15" fillId="13" borderId="14" xfId="0" applyFont="1" applyFill="1" applyBorder="1" applyAlignment="1">
      <alignment horizontal="center" vertical="center" wrapText="1"/>
    </xf>
    <xf numFmtId="1" fontId="15" fillId="13" borderId="14" xfId="0" applyNumberFormat="1" applyFont="1" applyFill="1" applyBorder="1" applyAlignment="1">
      <alignment horizontal="center" vertical="center" wrapText="1"/>
    </xf>
    <xf numFmtId="49" fontId="15" fillId="13" borderId="14" xfId="0" applyNumberFormat="1" applyFont="1" applyFill="1" applyBorder="1" applyAlignment="1">
      <alignment horizontal="center" vertical="center" wrapText="1"/>
    </xf>
    <xf numFmtId="49" fontId="15" fillId="13" borderId="18" xfId="0" applyNumberFormat="1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horizontal="center" vertical="center" wrapText="1"/>
    </xf>
    <xf numFmtId="1" fontId="15" fillId="13" borderId="12" xfId="0" applyNumberFormat="1" applyFont="1" applyFill="1" applyBorder="1" applyAlignment="1">
      <alignment horizontal="center" vertical="center" wrapText="1"/>
    </xf>
    <xf numFmtId="49" fontId="15" fillId="13" borderId="12" xfId="0" applyNumberFormat="1" applyFont="1" applyFill="1" applyBorder="1" applyAlignment="1">
      <alignment horizontal="center" vertical="center" wrapText="1"/>
    </xf>
    <xf numFmtId="49" fontId="15" fillId="13" borderId="22" xfId="0" applyNumberFormat="1" applyFont="1" applyFill="1" applyBorder="1" applyAlignment="1">
      <alignment horizontal="center" vertical="center" wrapText="1"/>
    </xf>
    <xf numFmtId="1" fontId="15" fillId="13" borderId="12" xfId="4" applyNumberFormat="1" applyFont="1" applyFill="1" applyBorder="1" applyAlignment="1">
      <alignment horizontal="center" vertical="center" wrapText="1"/>
    </xf>
    <xf numFmtId="49" fontId="15" fillId="13" borderId="12" xfId="1" applyNumberFormat="1" applyFont="1" applyFill="1" applyBorder="1" applyAlignment="1">
      <alignment horizontal="center" vertical="center" wrapText="1"/>
    </xf>
    <xf numFmtId="49" fontId="15" fillId="13" borderId="22" xfId="1" applyNumberFormat="1" applyFont="1" applyFill="1" applyBorder="1" applyAlignment="1">
      <alignment horizontal="center" vertical="center" wrapText="1"/>
    </xf>
    <xf numFmtId="0" fontId="15" fillId="13" borderId="12" xfId="3" applyFont="1" applyFill="1" applyBorder="1" applyAlignment="1">
      <alignment horizontal="center" vertical="center" wrapText="1"/>
    </xf>
    <xf numFmtId="0" fontId="16" fillId="13" borderId="12" xfId="4" applyFont="1" applyFill="1" applyBorder="1" applyAlignment="1">
      <alignment horizontal="center" vertical="center" wrapText="1"/>
    </xf>
    <xf numFmtId="1" fontId="15" fillId="13" borderId="12" xfId="2" applyNumberFormat="1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horizontal="center" vertical="center" wrapText="1" shrinkToFit="1"/>
    </xf>
    <xf numFmtId="1" fontId="15" fillId="13" borderId="12" xfId="0" applyNumberFormat="1" applyFont="1" applyFill="1" applyBorder="1" applyAlignment="1">
      <alignment horizontal="center" vertical="center" wrapText="1" shrinkToFit="1"/>
    </xf>
    <xf numFmtId="0" fontId="15" fillId="13" borderId="0" xfId="0" applyFont="1" applyFill="1" applyAlignment="1">
      <alignment horizontal="center" vertical="center" wrapText="1" shrinkToFit="1"/>
    </xf>
    <xf numFmtId="0" fontId="15" fillId="13" borderId="12" xfId="4" applyFont="1" applyFill="1" applyBorder="1" applyAlignment="1">
      <alignment horizontal="center" vertical="center" wrapText="1"/>
    </xf>
    <xf numFmtId="0" fontId="15" fillId="13" borderId="10" xfId="0" applyFont="1" applyFill="1" applyBorder="1" applyAlignment="1">
      <alignment horizontal="center" vertical="center" wrapText="1"/>
    </xf>
    <xf numFmtId="49" fontId="15" fillId="13" borderId="10" xfId="0" applyNumberFormat="1" applyFont="1" applyFill="1" applyBorder="1" applyAlignment="1">
      <alignment horizontal="center" vertical="center" wrapText="1"/>
    </xf>
    <xf numFmtId="49" fontId="15" fillId="13" borderId="30" xfId="0" applyNumberFormat="1" applyFont="1" applyFill="1" applyBorder="1" applyAlignment="1">
      <alignment horizontal="center" vertical="center" wrapText="1"/>
    </xf>
    <xf numFmtId="0" fontId="15" fillId="13" borderId="0" xfId="0" applyFont="1" applyFill="1" applyAlignment="1">
      <alignment horizontal="center" vertical="center" wrapText="1"/>
    </xf>
    <xf numFmtId="0" fontId="16" fillId="13" borderId="0" xfId="0" applyFont="1" applyFill="1" applyAlignment="1">
      <alignment horizontal="center" vertical="center" wrapText="1"/>
    </xf>
    <xf numFmtId="166" fontId="16" fillId="13" borderId="0" xfId="0" applyNumberFormat="1" applyFont="1" applyFill="1" applyAlignment="1">
      <alignment horizontal="center" vertical="center" wrapText="1"/>
    </xf>
    <xf numFmtId="49" fontId="16" fillId="13" borderId="9" xfId="5" applyNumberFormat="1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0" fontId="15" fillId="13" borderId="20" xfId="0" applyFont="1" applyFill="1" applyBorder="1" applyAlignment="1">
      <alignment horizontal="center" vertical="center" wrapText="1"/>
    </xf>
    <xf numFmtId="0" fontId="15" fillId="13" borderId="20" xfId="0" applyFont="1" applyFill="1" applyBorder="1" applyAlignment="1">
      <alignment horizontal="center" vertical="center" wrapText="1" shrinkToFit="1"/>
    </xf>
    <xf numFmtId="0" fontId="15" fillId="13" borderId="27" xfId="0" applyFont="1" applyFill="1" applyBorder="1" applyAlignment="1">
      <alignment horizontal="center" vertical="center" wrapText="1"/>
    </xf>
    <xf numFmtId="165" fontId="5" fillId="5" borderId="12" xfId="0" applyNumberFormat="1" applyFont="1" applyFill="1" applyBorder="1" applyAlignment="1">
      <alignment horizontal="center" vertical="center" wrapText="1"/>
    </xf>
    <xf numFmtId="165" fontId="6" fillId="5" borderId="12" xfId="0" applyNumberFormat="1" applyFont="1" applyFill="1" applyBorder="1" applyAlignment="1">
      <alignment horizontal="center" vertical="center" wrapText="1" shrinkToFit="1"/>
    </xf>
    <xf numFmtId="165" fontId="5" fillId="5" borderId="0" xfId="0" applyNumberFormat="1" applyFont="1" applyFill="1" applyBorder="1" applyAlignment="1">
      <alignment horizontal="center" vertical="center" wrapText="1"/>
    </xf>
    <xf numFmtId="165" fontId="6" fillId="5" borderId="0" xfId="0" applyNumberFormat="1" applyFont="1" applyFill="1" applyBorder="1" applyAlignment="1">
      <alignment horizontal="center" vertical="center" wrapText="1"/>
    </xf>
    <xf numFmtId="165" fontId="5" fillId="6" borderId="0" xfId="0" applyNumberFormat="1" applyFont="1" applyFill="1" applyBorder="1" applyAlignment="1">
      <alignment horizontal="center" vertical="center" wrapText="1"/>
    </xf>
    <xf numFmtId="165" fontId="6" fillId="6" borderId="0" xfId="0" applyNumberFormat="1" applyFont="1" applyFill="1" applyBorder="1" applyAlignment="1">
      <alignment horizontal="center" vertical="center" wrapText="1" shrinkToFit="1"/>
    </xf>
    <xf numFmtId="165" fontId="5" fillId="6" borderId="0" xfId="0" applyNumberFormat="1" applyFont="1" applyFill="1" applyBorder="1" applyAlignment="1">
      <alignment horizontal="center" vertical="center" wrapText="1" shrinkToFit="1"/>
    </xf>
    <xf numFmtId="166" fontId="6" fillId="7" borderId="0" xfId="0" applyNumberFormat="1" applyFont="1" applyFill="1" applyBorder="1" applyAlignment="1">
      <alignment horizontal="center" vertical="center" wrapText="1"/>
    </xf>
    <xf numFmtId="165" fontId="6" fillId="5" borderId="0" xfId="0" applyNumberFormat="1" applyFont="1" applyFill="1" applyBorder="1" applyAlignment="1">
      <alignment horizontal="center" vertical="center" wrapText="1" shrinkToFit="1"/>
    </xf>
    <xf numFmtId="166" fontId="5" fillId="7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7" borderId="12" xfId="0" applyFill="1" applyBorder="1"/>
    <xf numFmtId="165" fontId="6" fillId="7" borderId="22" xfId="0" applyNumberFormat="1" applyFont="1" applyFill="1" applyBorder="1" applyAlignment="1">
      <alignment horizontal="center" vertical="center" wrapText="1"/>
    </xf>
    <xf numFmtId="165" fontId="5" fillId="7" borderId="22" xfId="0" applyNumberFormat="1" applyFont="1" applyFill="1" applyBorder="1" applyAlignment="1">
      <alignment horizontal="center" vertical="center" wrapText="1"/>
    </xf>
    <xf numFmtId="165" fontId="6" fillId="7" borderId="22" xfId="0" applyNumberFormat="1" applyFont="1" applyFill="1" applyBorder="1" applyAlignment="1">
      <alignment horizontal="center" vertical="center" wrapText="1" shrinkToFit="1"/>
    </xf>
    <xf numFmtId="164" fontId="6" fillId="7" borderId="21" xfId="0" applyNumberFormat="1" applyFont="1" applyFill="1" applyBorder="1" applyAlignment="1">
      <alignment horizontal="center" vertical="center" wrapText="1" shrinkToFit="1"/>
    </xf>
    <xf numFmtId="165" fontId="6" fillId="6" borderId="0" xfId="0" applyNumberFormat="1" applyFont="1" applyFill="1" applyBorder="1" applyAlignment="1">
      <alignment horizontal="center" vertical="center" wrapText="1"/>
    </xf>
    <xf numFmtId="165" fontId="5" fillId="6" borderId="1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4" fontId="6" fillId="6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164" fontId="5" fillId="7" borderId="3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6" fillId="7" borderId="0" xfId="0" applyNumberFormat="1" applyFont="1" applyFill="1" applyBorder="1" applyAlignment="1">
      <alignment horizontal="center" vertical="center" wrapText="1" shrinkToFit="1"/>
    </xf>
    <xf numFmtId="164" fontId="6" fillId="7" borderId="0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Border="1" applyAlignment="1">
      <alignment horizontal="center" vertical="center" wrapText="1" shrinkToFit="1"/>
    </xf>
    <xf numFmtId="164" fontId="6" fillId="0" borderId="0" xfId="0" applyNumberFormat="1" applyFont="1" applyBorder="1" applyAlignment="1">
      <alignment horizontal="center" vertical="center" wrapText="1" shrinkToFit="1"/>
    </xf>
    <xf numFmtId="164" fontId="5" fillId="7" borderId="0" xfId="3" applyNumberFormat="1" applyFont="1" applyFill="1" applyBorder="1" applyAlignment="1">
      <alignment horizontal="center" vertical="center" wrapText="1"/>
    </xf>
    <xf numFmtId="165" fontId="10" fillId="6" borderId="35" xfId="0" applyNumberFormat="1" applyFont="1" applyFill="1" applyBorder="1" applyAlignment="1">
      <alignment horizontal="center" vertical="center" textRotation="90" wrapText="1"/>
    </xf>
    <xf numFmtId="1" fontId="10" fillId="6" borderId="35" xfId="0" applyNumberFormat="1" applyFont="1" applyFill="1" applyBorder="1" applyAlignment="1">
      <alignment horizontal="center" vertical="center" textRotation="90" wrapText="1"/>
    </xf>
    <xf numFmtId="164" fontId="10" fillId="6" borderId="35" xfId="0" applyNumberFormat="1" applyFont="1" applyFill="1" applyBorder="1" applyAlignment="1">
      <alignment horizontal="center" vertical="center" textRotation="90" wrapText="1"/>
    </xf>
    <xf numFmtId="164" fontId="10" fillId="8" borderId="35" xfId="0" applyNumberFormat="1" applyFont="1" applyFill="1" applyBorder="1" applyAlignment="1">
      <alignment horizontal="center" vertical="center" textRotation="90" wrapText="1"/>
    </xf>
    <xf numFmtId="164" fontId="7" fillId="6" borderId="3" xfId="0" applyNumberFormat="1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center" vertical="center" wrapText="1"/>
    </xf>
    <xf numFmtId="164" fontId="10" fillId="7" borderId="35" xfId="0" applyNumberFormat="1" applyFont="1" applyFill="1" applyBorder="1" applyAlignment="1">
      <alignment horizontal="center" vertical="center" textRotation="90" wrapText="1"/>
    </xf>
    <xf numFmtId="0" fontId="10" fillId="7" borderId="35" xfId="0" applyFont="1" applyFill="1" applyBorder="1" applyAlignment="1">
      <alignment horizontal="center" vertical="center" textRotation="90" wrapText="1"/>
    </xf>
    <xf numFmtId="1" fontId="10" fillId="7" borderId="35" xfId="0" applyNumberFormat="1" applyFont="1" applyFill="1" applyBorder="1" applyAlignment="1">
      <alignment horizontal="center" vertical="center" textRotation="90" wrapText="1"/>
    </xf>
    <xf numFmtId="164" fontId="10" fillId="9" borderId="35" xfId="0" applyNumberFormat="1" applyFont="1" applyFill="1" applyBorder="1" applyAlignment="1">
      <alignment horizontal="center" vertical="center" textRotation="90" wrapText="1"/>
    </xf>
    <xf numFmtId="0" fontId="6" fillId="7" borderId="3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165" fontId="15" fillId="13" borderId="16" xfId="0" applyNumberFormat="1" applyFont="1" applyFill="1" applyBorder="1" applyAlignment="1">
      <alignment horizontal="center" vertical="center" wrapText="1"/>
    </xf>
    <xf numFmtId="165" fontId="15" fillId="13" borderId="17" xfId="0" applyNumberFormat="1" applyFont="1" applyFill="1" applyBorder="1" applyAlignment="1">
      <alignment horizontal="center" vertical="center" wrapText="1"/>
    </xf>
    <xf numFmtId="165" fontId="15" fillId="13" borderId="24" xfId="0" applyNumberFormat="1" applyFont="1" applyFill="1" applyBorder="1" applyAlignment="1">
      <alignment horizontal="center" vertical="center" wrapText="1"/>
    </xf>
    <xf numFmtId="165" fontId="15" fillId="13" borderId="21" xfId="0" applyNumberFormat="1" applyFont="1" applyFill="1" applyBorder="1" applyAlignment="1">
      <alignment horizontal="center" vertical="center" wrapText="1"/>
    </xf>
    <xf numFmtId="165" fontId="15" fillId="13" borderId="21" xfId="0" applyNumberFormat="1" applyFont="1" applyFill="1" applyBorder="1" applyAlignment="1">
      <alignment horizontal="left" vertical="center" wrapText="1"/>
    </xf>
    <xf numFmtId="165" fontId="17" fillId="13" borderId="21" xfId="0" applyNumberFormat="1" applyFont="1" applyFill="1" applyBorder="1" applyAlignment="1">
      <alignment horizontal="center" vertical="center" wrapText="1"/>
    </xf>
    <xf numFmtId="165" fontId="15" fillId="13" borderId="29" xfId="0" applyNumberFormat="1" applyFont="1" applyFill="1" applyBorder="1" applyAlignment="1">
      <alignment horizontal="center" vertical="center" wrapText="1"/>
    </xf>
    <xf numFmtId="166" fontId="16" fillId="13" borderId="13" xfId="0" applyNumberFormat="1" applyFont="1" applyFill="1" applyBorder="1" applyAlignment="1">
      <alignment horizontal="center" vertical="center" wrapText="1"/>
    </xf>
    <xf numFmtId="0" fontId="15" fillId="13" borderId="31" xfId="0" applyFont="1" applyFill="1" applyBorder="1" applyAlignment="1">
      <alignment horizontal="center" vertical="center"/>
    </xf>
    <xf numFmtId="0" fontId="15" fillId="13" borderId="32" xfId="0" applyFont="1" applyFill="1" applyBorder="1" applyAlignment="1">
      <alignment horizontal="center" vertical="center" wrapText="1"/>
    </xf>
    <xf numFmtId="0" fontId="15" fillId="13" borderId="19" xfId="0" applyFont="1" applyFill="1" applyBorder="1" applyAlignment="1">
      <alignment horizontal="center" vertical="center" wrapText="1"/>
    </xf>
    <xf numFmtId="165" fontId="5" fillId="7" borderId="21" xfId="0" applyNumberFormat="1" applyFont="1" applyFill="1" applyBorder="1" applyAlignment="1">
      <alignment horizontal="center" vertical="center" wrapText="1"/>
    </xf>
    <xf numFmtId="165" fontId="6" fillId="7" borderId="21" xfId="0" applyNumberFormat="1" applyFont="1" applyFill="1" applyBorder="1" applyAlignment="1">
      <alignment horizontal="center" vertical="center" wrapText="1"/>
    </xf>
    <xf numFmtId="165" fontId="6" fillId="10" borderId="22" xfId="0" applyNumberFormat="1" applyFont="1" applyFill="1" applyBorder="1" applyAlignment="1">
      <alignment horizontal="center" vertical="center" wrapText="1"/>
    </xf>
    <xf numFmtId="165" fontId="5" fillId="6" borderId="19" xfId="0" applyNumberFormat="1" applyFont="1" applyFill="1" applyBorder="1" applyAlignment="1">
      <alignment horizontal="center" vertical="center" wrapText="1"/>
    </xf>
    <xf numFmtId="165" fontId="6" fillId="5" borderId="22" xfId="0" applyNumberFormat="1" applyFont="1" applyFill="1" applyBorder="1" applyAlignment="1">
      <alignment horizontal="center" vertical="center" wrapText="1"/>
    </xf>
    <xf numFmtId="165" fontId="6" fillId="6" borderId="19" xfId="0" applyNumberFormat="1" applyFont="1" applyFill="1" applyBorder="1" applyAlignment="1">
      <alignment horizontal="center" vertical="center" wrapText="1"/>
    </xf>
    <xf numFmtId="165" fontId="6" fillId="10" borderId="22" xfId="0" applyNumberFormat="1" applyFont="1" applyFill="1" applyBorder="1" applyAlignment="1">
      <alignment horizontal="center" vertical="center" wrapText="1" shrinkToFit="1"/>
    </xf>
    <xf numFmtId="165" fontId="6" fillId="5" borderId="22" xfId="0" applyNumberFormat="1" applyFont="1" applyFill="1" applyBorder="1" applyAlignment="1">
      <alignment horizontal="center" vertical="center" wrapText="1" shrinkToFit="1"/>
    </xf>
    <xf numFmtId="165" fontId="6" fillId="5" borderId="39" xfId="0" applyNumberFormat="1" applyFont="1" applyFill="1" applyBorder="1" applyAlignment="1">
      <alignment horizontal="center" vertical="center" wrapText="1"/>
    </xf>
    <xf numFmtId="165" fontId="6" fillId="5" borderId="39" xfId="0" applyNumberFormat="1" applyFont="1" applyFill="1" applyBorder="1" applyAlignment="1">
      <alignment horizontal="center" vertical="center" wrapText="1" shrinkToFit="1"/>
    </xf>
    <xf numFmtId="165" fontId="6" fillId="0" borderId="19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4" fontId="5" fillId="6" borderId="19" xfId="0" applyNumberFormat="1" applyFont="1" applyFill="1" applyBorder="1" applyAlignment="1">
      <alignment horizontal="center" vertical="center" wrapText="1"/>
    </xf>
    <xf numFmtId="165" fontId="5" fillId="10" borderId="22" xfId="0" applyNumberFormat="1" applyFont="1" applyFill="1" applyBorder="1" applyAlignment="1">
      <alignment horizontal="center" vertical="center" wrapText="1"/>
    </xf>
    <xf numFmtId="165" fontId="5" fillId="10" borderId="22" xfId="3" applyNumberFormat="1" applyFont="1" applyFill="1" applyBorder="1" applyAlignment="1">
      <alignment horizontal="center" vertical="center" wrapText="1" shrinkToFit="1"/>
    </xf>
    <xf numFmtId="0" fontId="6" fillId="10" borderId="22" xfId="0" applyFont="1" applyFill="1" applyBorder="1" applyAlignment="1">
      <alignment horizontal="center" vertical="center" wrapText="1"/>
    </xf>
    <xf numFmtId="165" fontId="5" fillId="10" borderId="22" xfId="3" applyNumberFormat="1" applyFont="1" applyFill="1" applyBorder="1" applyAlignment="1">
      <alignment horizontal="center" vertical="center" wrapText="1"/>
    </xf>
    <xf numFmtId="165" fontId="13" fillId="0" borderId="19" xfId="0" applyNumberFormat="1" applyFont="1" applyBorder="1" applyAlignment="1">
      <alignment horizontal="center" vertical="center" wrapText="1"/>
    </xf>
    <xf numFmtId="165" fontId="6" fillId="0" borderId="41" xfId="0" applyNumberFormat="1" applyFont="1" applyBorder="1" applyAlignment="1">
      <alignment horizontal="center" vertical="center" wrapText="1"/>
    </xf>
    <xf numFmtId="165" fontId="6" fillId="0" borderId="26" xfId="0" applyNumberFormat="1" applyFont="1" applyBorder="1" applyAlignment="1">
      <alignment horizontal="center" vertical="center" wrapText="1"/>
    </xf>
    <xf numFmtId="165" fontId="6" fillId="10" borderId="10" xfId="0" applyNumberFormat="1" applyFont="1" applyFill="1" applyBorder="1" applyAlignment="1">
      <alignment horizontal="center" vertical="center" wrapText="1"/>
    </xf>
    <xf numFmtId="165" fontId="6" fillId="10" borderId="30" xfId="0" applyNumberFormat="1" applyFont="1" applyFill="1" applyBorder="1" applyAlignment="1">
      <alignment horizontal="center" vertical="center" wrapText="1"/>
    </xf>
    <xf numFmtId="165" fontId="10" fillId="10" borderId="35" xfId="0" applyNumberFormat="1" applyFont="1" applyFill="1" applyBorder="1" applyAlignment="1">
      <alignment horizontal="center" vertical="center" textRotation="90" wrapText="1"/>
    </xf>
    <xf numFmtId="165" fontId="10" fillId="10" borderId="38" xfId="0" applyNumberFormat="1" applyFont="1" applyFill="1" applyBorder="1" applyAlignment="1">
      <alignment horizontal="center" vertical="center" textRotation="90" wrapText="1"/>
    </xf>
    <xf numFmtId="165" fontId="5" fillId="6" borderId="6" xfId="0" applyNumberFormat="1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165" fontId="5" fillId="6" borderId="4" xfId="0" applyNumberFormat="1" applyFont="1" applyFill="1" applyBorder="1" applyAlignment="1">
      <alignment horizontal="center" vertical="center" wrapText="1" shrinkToFit="1"/>
    </xf>
    <xf numFmtId="166" fontId="6" fillId="5" borderId="0" xfId="0" applyNumberFormat="1" applyFont="1" applyFill="1" applyBorder="1" applyAlignment="1">
      <alignment horizontal="center" vertical="center"/>
    </xf>
    <xf numFmtId="166" fontId="6" fillId="5" borderId="39" xfId="0" applyNumberFormat="1" applyFont="1" applyFill="1" applyBorder="1" applyAlignment="1">
      <alignment horizontal="center" vertical="center"/>
    </xf>
    <xf numFmtId="166" fontId="6" fillId="0" borderId="40" xfId="0" applyNumberFormat="1" applyFont="1" applyBorder="1" applyAlignment="1">
      <alignment horizontal="center" vertical="center" wrapText="1"/>
    </xf>
    <xf numFmtId="166" fontId="6" fillId="0" borderId="42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5" fontId="6" fillId="0" borderId="43" xfId="0" applyNumberFormat="1" applyFont="1" applyBorder="1" applyAlignment="1">
      <alignment horizontal="center" vertical="center" wrapText="1"/>
    </xf>
    <xf numFmtId="166" fontId="6" fillId="5" borderId="43" xfId="0" applyNumberFormat="1" applyFont="1" applyFill="1" applyBorder="1" applyAlignment="1">
      <alignment horizontal="center" vertical="center"/>
    </xf>
    <xf numFmtId="166" fontId="6" fillId="5" borderId="44" xfId="0" applyNumberFormat="1" applyFont="1" applyFill="1" applyBorder="1" applyAlignment="1">
      <alignment horizontal="center" vertical="center"/>
    </xf>
    <xf numFmtId="165" fontId="5" fillId="7" borderId="10" xfId="0" applyNumberFormat="1" applyFont="1" applyFill="1" applyBorder="1" applyAlignment="1">
      <alignment horizontal="center" vertical="center" wrapText="1"/>
    </xf>
    <xf numFmtId="1" fontId="6" fillId="7" borderId="0" xfId="0" applyNumberFormat="1" applyFont="1" applyFill="1" applyAlignment="1">
      <alignment horizontal="center" vertical="center" wrapText="1"/>
    </xf>
    <xf numFmtId="164" fontId="6" fillId="7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 shrinkToFit="1"/>
    </xf>
    <xf numFmtId="1" fontId="10" fillId="7" borderId="0" xfId="0" applyNumberFormat="1" applyFont="1" applyFill="1" applyBorder="1" applyAlignment="1">
      <alignment horizontal="center" vertical="center" textRotation="90" wrapText="1"/>
    </xf>
    <xf numFmtId="164" fontId="10" fillId="7" borderId="38" xfId="0" applyNumberFormat="1" applyFont="1" applyFill="1" applyBorder="1" applyAlignment="1">
      <alignment horizontal="center" vertical="center" textRotation="90" wrapText="1"/>
    </xf>
    <xf numFmtId="166" fontId="5" fillId="7" borderId="13" xfId="0" applyNumberFormat="1" applyFont="1" applyFill="1" applyBorder="1" applyAlignment="1">
      <alignment horizontal="center" vertical="center" wrapText="1"/>
    </xf>
    <xf numFmtId="166" fontId="5" fillId="7" borderId="22" xfId="0" applyNumberFormat="1" applyFont="1" applyFill="1" applyBorder="1" applyAlignment="1">
      <alignment horizontal="center" vertical="center" wrapText="1"/>
    </xf>
    <xf numFmtId="166" fontId="6" fillId="0" borderId="19" xfId="0" applyNumberFormat="1" applyFont="1" applyBorder="1" applyAlignment="1">
      <alignment horizontal="center" vertical="center" wrapText="1"/>
    </xf>
    <xf numFmtId="0" fontId="0" fillId="7" borderId="22" xfId="0" applyFill="1" applyBorder="1"/>
    <xf numFmtId="166" fontId="6" fillId="7" borderId="19" xfId="0" applyNumberFormat="1" applyFont="1" applyFill="1" applyBorder="1" applyAlignment="1">
      <alignment horizontal="center" vertical="center" wrapText="1"/>
    </xf>
    <xf numFmtId="165" fontId="5" fillId="7" borderId="19" xfId="0" applyNumberFormat="1" applyFont="1" applyFill="1" applyBorder="1" applyAlignment="1">
      <alignment horizontal="center" vertical="center" wrapText="1"/>
    </xf>
    <xf numFmtId="166" fontId="5" fillId="7" borderId="39" xfId="0" applyNumberFormat="1" applyFont="1" applyFill="1" applyBorder="1" applyAlignment="1">
      <alignment horizontal="center" vertical="center" wrapText="1"/>
    </xf>
    <xf numFmtId="166" fontId="6" fillId="7" borderId="22" xfId="0" applyNumberFormat="1" applyFont="1" applyFill="1" applyBorder="1" applyAlignment="1">
      <alignment horizontal="center" vertical="center" wrapText="1"/>
    </xf>
    <xf numFmtId="166" fontId="6" fillId="7" borderId="39" xfId="0" applyNumberFormat="1" applyFont="1" applyFill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center" vertical="center" wrapText="1"/>
    </xf>
    <xf numFmtId="166" fontId="11" fillId="0" borderId="19" xfId="0" applyNumberFormat="1" applyFont="1" applyBorder="1" applyAlignment="1">
      <alignment horizontal="center" vertical="center" wrapText="1"/>
    </xf>
    <xf numFmtId="165" fontId="6" fillId="7" borderId="19" xfId="0" applyNumberFormat="1" applyFont="1" applyFill="1" applyBorder="1" applyAlignment="1">
      <alignment horizontal="center" vertical="center" wrapText="1"/>
    </xf>
    <xf numFmtId="166" fontId="5" fillId="7" borderId="19" xfId="0" applyNumberFormat="1" applyFont="1" applyFill="1" applyBorder="1" applyAlignment="1">
      <alignment horizontal="center" vertical="center" wrapText="1"/>
    </xf>
    <xf numFmtId="165" fontId="6" fillId="7" borderId="40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0" fillId="0" borderId="40" xfId="0" applyBorder="1"/>
    <xf numFmtId="165" fontId="5" fillId="7" borderId="28" xfId="0" applyNumberFormat="1" applyFont="1" applyFill="1" applyBorder="1" applyAlignment="1">
      <alignment horizontal="center" vertical="center" wrapText="1"/>
    </xf>
    <xf numFmtId="1" fontId="5" fillId="7" borderId="28" xfId="0" applyNumberFormat="1" applyFont="1" applyFill="1" applyBorder="1" applyAlignment="1">
      <alignment horizontal="center" vertical="center" wrapText="1"/>
    </xf>
    <xf numFmtId="1" fontId="5" fillId="7" borderId="21" xfId="0" applyNumberFormat="1" applyFont="1" applyFill="1" applyBorder="1" applyAlignment="1">
      <alignment horizontal="center" vertical="center" wrapText="1"/>
    </xf>
    <xf numFmtId="1" fontId="6" fillId="7" borderId="21" xfId="0" applyNumberFormat="1" applyFont="1" applyFill="1" applyBorder="1" applyAlignment="1">
      <alignment horizontal="center" vertical="center" wrapText="1"/>
    </xf>
    <xf numFmtId="165" fontId="6" fillId="7" borderId="21" xfId="0" applyNumberFormat="1" applyFont="1" applyFill="1" applyBorder="1" applyAlignment="1">
      <alignment horizontal="center" vertical="center" wrapText="1" shrinkToFit="1"/>
    </xf>
    <xf numFmtId="165" fontId="5" fillId="7" borderId="21" xfId="2" applyNumberFormat="1" applyFont="1" applyFill="1" applyBorder="1" applyAlignment="1">
      <alignment horizontal="center" vertical="center" wrapText="1"/>
    </xf>
    <xf numFmtId="1" fontId="5" fillId="7" borderId="2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10" fillId="0" borderId="0" xfId="0" applyNumberFormat="1" applyFont="1"/>
    <xf numFmtId="0" fontId="6" fillId="15" borderId="0" xfId="0" applyFont="1" applyFill="1" applyAlignment="1">
      <alignment horizontal="center" vertical="center" wrapText="1"/>
    </xf>
    <xf numFmtId="49" fontId="9" fillId="15" borderId="36" xfId="5" applyNumberFormat="1" applyFont="1" applyFill="1" applyBorder="1" applyAlignment="1">
      <alignment horizontal="center" vertical="center" textRotation="90" wrapText="1"/>
    </xf>
    <xf numFmtId="165" fontId="5" fillId="15" borderId="15" xfId="0" applyNumberFormat="1" applyFont="1" applyFill="1" applyBorder="1" applyAlignment="1">
      <alignment horizontal="center" vertical="center" wrapText="1"/>
    </xf>
    <xf numFmtId="165" fontId="6" fillId="15" borderId="20" xfId="0" applyNumberFormat="1" applyFont="1" applyFill="1" applyBorder="1" applyAlignment="1">
      <alignment horizontal="center" vertical="center" wrapText="1"/>
    </xf>
    <xf numFmtId="0" fontId="5" fillId="15" borderId="20" xfId="0" applyFont="1" applyFill="1" applyBorder="1" applyAlignment="1">
      <alignment horizontal="center" vertical="center" wrapText="1"/>
    </xf>
    <xf numFmtId="165" fontId="5" fillId="15" borderId="20" xfId="0" applyNumberFormat="1" applyFont="1" applyFill="1" applyBorder="1" applyAlignment="1">
      <alignment horizontal="center" vertical="center" wrapText="1"/>
    </xf>
    <xf numFmtId="165" fontId="6" fillId="15" borderId="20" xfId="0" applyNumberFormat="1" applyFont="1" applyFill="1" applyBorder="1" applyAlignment="1">
      <alignment horizontal="center" vertical="center" wrapText="1" shrinkToFit="1"/>
    </xf>
    <xf numFmtId="0" fontId="5" fillId="15" borderId="20" xfId="0" applyFont="1" applyFill="1" applyBorder="1" applyAlignment="1">
      <alignment horizontal="center" vertical="center"/>
    </xf>
    <xf numFmtId="165" fontId="6" fillId="15" borderId="27" xfId="0" applyNumberFormat="1" applyFont="1" applyFill="1" applyBorder="1" applyAlignment="1">
      <alignment horizontal="center" vertical="center" wrapText="1"/>
    </xf>
    <xf numFmtId="0" fontId="10" fillId="15" borderId="0" xfId="0" applyFont="1" applyFill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167" fontId="5" fillId="7" borderId="12" xfId="0" applyNumberFormat="1" applyFont="1" applyFill="1" applyBorder="1" applyAlignment="1">
      <alignment horizontal="center" vertical="center" wrapText="1"/>
    </xf>
    <xf numFmtId="3" fontId="5" fillId="7" borderId="12" xfId="0" applyNumberFormat="1" applyFont="1" applyFill="1" applyBorder="1" applyAlignment="1">
      <alignment horizontal="center" vertical="center" wrapText="1"/>
    </xf>
    <xf numFmtId="166" fontId="6" fillId="7" borderId="23" xfId="0" applyNumberFormat="1" applyFont="1" applyFill="1" applyBorder="1" applyAlignment="1">
      <alignment horizontal="center" vertical="center" wrapText="1"/>
    </xf>
    <xf numFmtId="3" fontId="6" fillId="7" borderId="21" xfId="0" applyNumberFormat="1" applyFont="1" applyFill="1" applyBorder="1" applyAlignment="1">
      <alignment horizontal="center" vertical="center" wrapText="1"/>
    </xf>
    <xf numFmtId="167" fontId="6" fillId="7" borderId="21" xfId="0" applyNumberFormat="1" applyFont="1" applyFill="1" applyBorder="1" applyAlignment="1">
      <alignment horizontal="center" vertical="center" wrapText="1"/>
    </xf>
    <xf numFmtId="167" fontId="6" fillId="7" borderId="12" xfId="0" applyNumberFormat="1" applyFont="1" applyFill="1" applyBorder="1" applyAlignment="1">
      <alignment horizontal="center" vertical="center" wrapText="1"/>
    </xf>
    <xf numFmtId="164" fontId="5" fillId="6" borderId="21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6" fontId="6" fillId="0" borderId="12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64" fontId="6" fillId="7" borderId="45" xfId="0" applyNumberFormat="1" applyFont="1" applyFill="1" applyBorder="1" applyAlignment="1">
      <alignment horizontal="center" vertical="center" wrapText="1" shrinkToFit="1"/>
    </xf>
    <xf numFmtId="165" fontId="6" fillId="7" borderId="45" xfId="0" applyNumberFormat="1" applyFont="1" applyFill="1" applyBorder="1" applyAlignment="1">
      <alignment horizontal="center" vertical="center" wrapText="1"/>
    </xf>
    <xf numFmtId="165" fontId="6" fillId="7" borderId="46" xfId="0" applyNumberFormat="1" applyFont="1" applyFill="1" applyBorder="1" applyAlignment="1">
      <alignment horizontal="center" vertical="center" wrapText="1" shrinkToFit="1"/>
    </xf>
    <xf numFmtId="165" fontId="6" fillId="7" borderId="35" xfId="0" applyNumberFormat="1" applyFont="1" applyFill="1" applyBorder="1" applyAlignment="1">
      <alignment horizontal="center" vertical="center" wrapText="1"/>
    </xf>
    <xf numFmtId="165" fontId="5" fillId="7" borderId="38" xfId="0" applyNumberFormat="1" applyFont="1" applyFill="1" applyBorder="1" applyAlignment="1">
      <alignment horizontal="center" vertical="center" wrapText="1"/>
    </xf>
    <xf numFmtId="166" fontId="6" fillId="7" borderId="48" xfId="0" applyNumberFormat="1" applyFont="1" applyFill="1" applyBorder="1" applyAlignment="1">
      <alignment horizontal="center" vertical="center" wrapText="1"/>
    </xf>
    <xf numFmtId="165" fontId="5" fillId="0" borderId="19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5" fillId="0" borderId="21" xfId="0" applyNumberFormat="1" applyFont="1" applyFill="1" applyBorder="1" applyAlignment="1">
      <alignment horizontal="center" vertical="center" wrapText="1" shrinkToFit="1"/>
    </xf>
    <xf numFmtId="165" fontId="5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 shrinkToFit="1"/>
    </xf>
    <xf numFmtId="166" fontId="5" fillId="0" borderId="19" xfId="0" applyNumberFormat="1" applyFont="1" applyFill="1" applyBorder="1" applyAlignment="1">
      <alignment horizontal="center" vertical="center" wrapText="1"/>
    </xf>
    <xf numFmtId="166" fontId="5" fillId="0" borderId="20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166" fontId="18" fillId="7" borderId="20" xfId="0" applyNumberFormat="1" applyFont="1" applyFill="1" applyBorder="1" applyAlignment="1">
      <alignment horizontal="center" vertical="center" wrapText="1"/>
    </xf>
    <xf numFmtId="1" fontId="18" fillId="7" borderId="20" xfId="0" applyNumberFormat="1" applyFont="1" applyFill="1" applyBorder="1" applyAlignment="1">
      <alignment horizontal="center" vertical="center" wrapText="1"/>
    </xf>
    <xf numFmtId="164" fontId="18" fillId="7" borderId="20" xfId="0" applyNumberFormat="1" applyFont="1" applyFill="1" applyBorder="1" applyAlignment="1">
      <alignment horizontal="center" vertical="center" wrapText="1"/>
    </xf>
    <xf numFmtId="164" fontId="18" fillId="7" borderId="0" xfId="0" applyNumberFormat="1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 wrapText="1"/>
    </xf>
    <xf numFmtId="166" fontId="5" fillId="6" borderId="12" xfId="0" applyNumberFormat="1" applyFont="1" applyFill="1" applyBorder="1" applyAlignment="1">
      <alignment horizontal="center" vertical="center" wrapText="1"/>
    </xf>
    <xf numFmtId="165" fontId="6" fillId="10" borderId="20" xfId="0" applyNumberFormat="1" applyFont="1" applyFill="1" applyBorder="1" applyAlignment="1">
      <alignment horizontal="center" vertical="center" wrapText="1"/>
    </xf>
    <xf numFmtId="166" fontId="5" fillId="7" borderId="21" xfId="0" applyNumberFormat="1" applyFont="1" applyFill="1" applyBorder="1" applyAlignment="1">
      <alignment horizontal="center" vertical="center" wrapText="1"/>
    </xf>
    <xf numFmtId="0" fontId="0" fillId="7" borderId="21" xfId="0" applyFill="1" applyBorder="1"/>
    <xf numFmtId="166" fontId="6" fillId="0" borderId="49" xfId="0" applyNumberFormat="1" applyFont="1" applyBorder="1" applyAlignment="1">
      <alignment horizontal="center" vertical="center" wrapText="1"/>
    </xf>
    <xf numFmtId="164" fontId="6" fillId="0" borderId="49" xfId="0" applyNumberFormat="1" applyFont="1" applyBorder="1" applyAlignment="1">
      <alignment horizontal="center" vertical="center" wrapText="1"/>
    </xf>
    <xf numFmtId="1" fontId="6" fillId="0" borderId="49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5" fontId="6" fillId="7" borderId="31" xfId="0" applyNumberFormat="1" applyFont="1" applyFill="1" applyBorder="1" applyAlignment="1">
      <alignment horizontal="center" vertical="center" wrapText="1"/>
    </xf>
    <xf numFmtId="165" fontId="6" fillId="7" borderId="29" xfId="0" applyNumberFormat="1" applyFont="1" applyFill="1" applyBorder="1" applyAlignment="1">
      <alignment horizontal="center" vertical="center" wrapText="1"/>
    </xf>
    <xf numFmtId="164" fontId="6" fillId="7" borderId="29" xfId="0" applyNumberFormat="1" applyFont="1" applyFill="1" applyBorder="1" applyAlignment="1">
      <alignment horizontal="center" vertical="center" wrapText="1"/>
    </xf>
    <xf numFmtId="165" fontId="5" fillId="7" borderId="45" xfId="3" applyNumberFormat="1" applyFont="1" applyFill="1" applyBorder="1" applyAlignment="1">
      <alignment horizontal="center" vertical="center" wrapText="1"/>
    </xf>
    <xf numFmtId="1" fontId="6" fillId="7" borderId="29" xfId="0" applyNumberFormat="1" applyFont="1" applyFill="1" applyBorder="1" applyAlignment="1">
      <alignment horizontal="center" vertical="center" wrapText="1"/>
    </xf>
    <xf numFmtId="166" fontId="6" fillId="0" borderId="50" xfId="0" applyNumberFormat="1" applyFont="1" applyBorder="1" applyAlignment="1">
      <alignment horizontal="center" vertical="center" wrapText="1"/>
    </xf>
    <xf numFmtId="166" fontId="6" fillId="0" borderId="51" xfId="0" applyNumberFormat="1" applyFont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 wrapText="1"/>
    </xf>
    <xf numFmtId="1" fontId="6" fillId="0" borderId="51" xfId="0" applyNumberFormat="1" applyFont="1" applyBorder="1" applyAlignment="1">
      <alignment horizontal="center" vertical="center" wrapText="1"/>
    </xf>
    <xf numFmtId="165" fontId="5" fillId="7" borderId="32" xfId="0" applyNumberFormat="1" applyFont="1" applyFill="1" applyBorder="1" applyAlignment="1">
      <alignment horizontal="center" vertical="center" wrapText="1"/>
    </xf>
    <xf numFmtId="165" fontId="5" fillId="7" borderId="23" xfId="3" applyNumberFormat="1" applyFont="1" applyFill="1" applyBorder="1" applyAlignment="1">
      <alignment horizontal="center" vertical="center" wrapText="1"/>
    </xf>
    <xf numFmtId="166" fontId="6" fillId="7" borderId="51" xfId="0" applyNumberFormat="1" applyFont="1" applyFill="1" applyBorder="1" applyAlignment="1">
      <alignment horizontal="center" vertical="center" wrapText="1"/>
    </xf>
    <xf numFmtId="164" fontId="6" fillId="7" borderId="51" xfId="0" applyNumberFormat="1" applyFont="1" applyFill="1" applyBorder="1" applyAlignment="1">
      <alignment horizontal="center" vertical="center" wrapText="1"/>
    </xf>
    <xf numFmtId="1" fontId="6" fillId="7" borderId="51" xfId="0" applyNumberFormat="1" applyFont="1" applyFill="1" applyBorder="1" applyAlignment="1">
      <alignment horizontal="center" vertical="center" wrapText="1"/>
    </xf>
    <xf numFmtId="166" fontId="6" fillId="0" borderId="32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1" fontId="6" fillId="0" borderId="34" xfId="0" applyNumberFormat="1" applyFont="1" applyBorder="1" applyAlignment="1">
      <alignment horizontal="center" vertical="center" wrapText="1"/>
    </xf>
    <xf numFmtId="165" fontId="6" fillId="7" borderId="45" xfId="0" applyNumberFormat="1" applyFont="1" applyFill="1" applyBorder="1" applyAlignment="1">
      <alignment horizontal="center" vertical="center" wrapText="1" shrinkToFit="1"/>
    </xf>
    <xf numFmtId="164" fontId="5" fillId="7" borderId="45" xfId="0" applyNumberFormat="1" applyFont="1" applyFill="1" applyBorder="1" applyAlignment="1">
      <alignment horizontal="center" vertical="center" wrapText="1"/>
    </xf>
    <xf numFmtId="166" fontId="5" fillId="7" borderId="31" xfId="0" applyNumberFormat="1" applyFont="1" applyFill="1" applyBorder="1" applyAlignment="1">
      <alignment horizontal="center" vertical="center" wrapText="1"/>
    </xf>
    <xf numFmtId="166" fontId="5" fillId="7" borderId="45" xfId="0" applyNumberFormat="1" applyFont="1" applyFill="1" applyBorder="1" applyAlignment="1">
      <alignment horizontal="center" vertical="center" wrapText="1"/>
    </xf>
    <xf numFmtId="166" fontId="6" fillId="7" borderId="45" xfId="0" applyNumberFormat="1" applyFont="1" applyFill="1" applyBorder="1" applyAlignment="1">
      <alignment horizontal="center" vertical="center" wrapText="1"/>
    </xf>
    <xf numFmtId="1" fontId="5" fillId="7" borderId="52" xfId="0" applyNumberFormat="1" applyFont="1" applyFill="1" applyBorder="1" applyAlignment="1">
      <alignment horizontal="center" vertical="center" wrapText="1"/>
    </xf>
    <xf numFmtId="165" fontId="6" fillId="7" borderId="32" xfId="0" applyNumberFormat="1" applyFont="1" applyFill="1" applyBorder="1" applyAlignment="1">
      <alignment horizontal="center" vertical="center" wrapText="1"/>
    </xf>
    <xf numFmtId="165" fontId="6" fillId="7" borderId="23" xfId="0" applyNumberFormat="1" applyFont="1" applyFill="1" applyBorder="1" applyAlignment="1">
      <alignment horizontal="center" vertical="center" wrapText="1"/>
    </xf>
    <xf numFmtId="164" fontId="6" fillId="7" borderId="23" xfId="0" applyNumberFormat="1" applyFont="1" applyFill="1" applyBorder="1" applyAlignment="1">
      <alignment horizontal="center" vertical="center" wrapText="1"/>
    </xf>
    <xf numFmtId="1" fontId="6" fillId="7" borderId="23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65" fontId="6" fillId="10" borderId="20" xfId="0" applyNumberFormat="1" applyFont="1" applyFill="1" applyBorder="1" applyAlignment="1">
      <alignment horizontal="center" vertical="center" wrapText="1" shrinkToFit="1"/>
    </xf>
    <xf numFmtId="165" fontId="5" fillId="10" borderId="20" xfId="0" applyNumberFormat="1" applyFont="1" applyFill="1" applyBorder="1" applyAlignment="1">
      <alignment horizontal="center" vertical="center" wrapText="1"/>
    </xf>
    <xf numFmtId="166" fontId="6" fillId="7" borderId="21" xfId="0" applyNumberFormat="1" applyFont="1" applyFill="1" applyBorder="1" applyAlignment="1">
      <alignment horizontal="center" vertical="center" wrapText="1" shrinkToFit="1"/>
    </xf>
    <xf numFmtId="164" fontId="12" fillId="0" borderId="12" xfId="0" applyNumberFormat="1" applyFont="1" applyBorder="1" applyAlignment="1">
      <alignment horizontal="center" vertical="center" wrapText="1"/>
    </xf>
    <xf numFmtId="166" fontId="12" fillId="0" borderId="1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166" fontId="6" fillId="0" borderId="20" xfId="0" applyNumberFormat="1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12" borderId="12" xfId="0" applyNumberFormat="1" applyFont="1" applyFill="1" applyBorder="1" applyAlignment="1">
      <alignment horizontal="center" vertical="center"/>
    </xf>
    <xf numFmtId="1" fontId="15" fillId="12" borderId="12" xfId="0" applyNumberFormat="1" applyFont="1" applyFill="1" applyBorder="1" applyAlignment="1">
      <alignment horizontal="center" vertical="center" wrapText="1"/>
    </xf>
    <xf numFmtId="164" fontId="6" fillId="6" borderId="0" xfId="0" applyNumberFormat="1" applyFont="1" applyFill="1" applyAlignment="1">
      <alignment horizontal="center" vertical="center" wrapText="1"/>
    </xf>
    <xf numFmtId="1" fontId="6" fillId="6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6" borderId="0" xfId="0" applyNumberFormat="1" applyFont="1" applyFill="1" applyAlignment="1">
      <alignment horizontal="center" vertical="center" wrapText="1"/>
    </xf>
    <xf numFmtId="1" fontId="16" fillId="13" borderId="0" xfId="0" applyNumberFormat="1" applyFont="1" applyFill="1" applyAlignment="1">
      <alignment horizontal="center" vertical="center" wrapText="1"/>
    </xf>
    <xf numFmtId="49" fontId="16" fillId="13" borderId="0" xfId="0" applyNumberFormat="1" applyFont="1" applyFill="1" applyAlignment="1">
      <alignment horizontal="center" vertical="center" wrapText="1"/>
    </xf>
    <xf numFmtId="0" fontId="16" fillId="13" borderId="0" xfId="0" applyFont="1" applyFill="1" applyAlignment="1">
      <alignment horizontal="left" vertical="center"/>
    </xf>
    <xf numFmtId="0" fontId="16" fillId="13" borderId="0" xfId="0" applyFont="1" applyFill="1" applyAlignment="1">
      <alignment horizontal="center" vertical="center"/>
    </xf>
    <xf numFmtId="0" fontId="19" fillId="0" borderId="0" xfId="0" applyFont="1"/>
    <xf numFmtId="0" fontId="10" fillId="0" borderId="0" xfId="0" applyFont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16" fillId="13" borderId="0" xfId="0" applyNumberFormat="1" applyFont="1" applyFill="1" applyAlignment="1">
      <alignment horizontal="center" vertical="center" wrapText="1"/>
    </xf>
    <xf numFmtId="164" fontId="10" fillId="15" borderId="0" xfId="0" applyNumberFormat="1" applyFont="1" applyFill="1" applyAlignment="1">
      <alignment horizontal="center" vertical="center" wrapText="1"/>
    </xf>
    <xf numFmtId="164" fontId="9" fillId="6" borderId="40" xfId="0" applyNumberFormat="1" applyFont="1" applyFill="1" applyBorder="1" applyAlignment="1">
      <alignment horizontal="center" vertical="center" wrapText="1" shrinkToFi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6" borderId="0" xfId="0" applyNumberFormat="1" applyFont="1" applyFill="1" applyBorder="1" applyAlignment="1">
      <alignment horizontal="center" vertical="center" wrapText="1" shrinkToFit="1"/>
    </xf>
    <xf numFmtId="164" fontId="10" fillId="7" borderId="0" xfId="0" applyNumberFormat="1" applyFont="1" applyFill="1" applyAlignment="1">
      <alignment horizontal="center" vertical="center" wrapText="1"/>
    </xf>
    <xf numFmtId="164" fontId="16" fillId="13" borderId="0" xfId="0" applyNumberFormat="1" applyFont="1" applyFill="1" applyAlignment="1">
      <alignment horizontal="left" vertical="center"/>
    </xf>
    <xf numFmtId="164" fontId="16" fillId="13" borderId="0" xfId="0" applyNumberFormat="1" applyFont="1" applyFill="1" applyAlignment="1">
      <alignment horizontal="center" vertical="center"/>
    </xf>
    <xf numFmtId="164" fontId="19" fillId="0" borderId="0" xfId="0" applyNumberFormat="1" applyFont="1"/>
    <xf numFmtId="164" fontId="10" fillId="0" borderId="0" xfId="0" applyNumberFormat="1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64" fontId="10" fillId="6" borderId="39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 wrapText="1"/>
    </xf>
    <xf numFmtId="164" fontId="10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6" fillId="13" borderId="26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164" fontId="10" fillId="11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6" fillId="17" borderId="0" xfId="0" applyNumberFormat="1" applyFont="1" applyFill="1" applyAlignment="1">
      <alignment horizontal="center" vertical="center" wrapText="1"/>
    </xf>
    <xf numFmtId="164" fontId="10" fillId="17" borderId="0" xfId="0" applyNumberFormat="1" applyFont="1" applyFill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166" fontId="10" fillId="17" borderId="2" xfId="0" applyNumberFormat="1" applyFont="1" applyFill="1" applyBorder="1" applyAlignment="1">
      <alignment horizontal="center" vertical="center" wrapText="1"/>
    </xf>
    <xf numFmtId="1" fontId="5" fillId="7" borderId="23" xfId="3" applyNumberFormat="1" applyFont="1" applyFill="1" applyBorder="1" applyAlignment="1">
      <alignment horizontal="center" vertical="center" wrapText="1"/>
    </xf>
    <xf numFmtId="164" fontId="5" fillId="7" borderId="23" xfId="3" applyNumberFormat="1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164" fontId="5" fillId="7" borderId="23" xfId="0" applyNumberFormat="1" applyFont="1" applyFill="1" applyBorder="1" applyAlignment="1">
      <alignment horizontal="center" vertical="center" wrapText="1"/>
    </xf>
    <xf numFmtId="1" fontId="5" fillId="7" borderId="23" xfId="0" applyNumberFormat="1" applyFont="1" applyFill="1" applyBorder="1" applyAlignment="1">
      <alignment horizontal="center" vertical="center" wrapText="1"/>
    </xf>
    <xf numFmtId="164" fontId="5" fillId="7" borderId="21" xfId="2" applyNumberFormat="1" applyFont="1" applyFill="1" applyBorder="1" applyAlignment="1">
      <alignment horizontal="center" vertical="center" wrapText="1"/>
    </xf>
    <xf numFmtId="164" fontId="5" fillId="7" borderId="28" xfId="0" applyNumberFormat="1" applyFont="1" applyFill="1" applyBorder="1" applyAlignment="1">
      <alignment horizontal="center" vertical="center" wrapText="1"/>
    </xf>
    <xf numFmtId="1" fontId="5" fillId="7" borderId="47" xfId="0" applyNumberFormat="1" applyFont="1" applyFill="1" applyBorder="1" applyAlignment="1">
      <alignment horizontal="center" vertical="center" wrapText="1"/>
    </xf>
    <xf numFmtId="164" fontId="5" fillId="7" borderId="47" xfId="0" applyNumberFormat="1" applyFont="1" applyFill="1" applyBorder="1" applyAlignment="1">
      <alignment horizontal="center" vertical="center" wrapText="1"/>
    </xf>
    <xf numFmtId="164" fontId="5" fillId="6" borderId="21" xfId="0" applyNumberFormat="1" applyFont="1" applyFill="1" applyBorder="1" applyAlignment="1">
      <alignment horizontal="center" vertical="center" wrapText="1" shrinkToFit="1"/>
    </xf>
    <xf numFmtId="164" fontId="5" fillId="6" borderId="12" xfId="0" applyNumberFormat="1" applyFont="1" applyFill="1" applyBorder="1" applyAlignment="1">
      <alignment horizontal="center" vertical="center" wrapText="1"/>
    </xf>
    <xf numFmtId="166" fontId="6" fillId="6" borderId="12" xfId="0" applyNumberFormat="1" applyFont="1" applyFill="1" applyBorder="1" applyAlignment="1">
      <alignment horizontal="center" vertical="center" wrapText="1"/>
    </xf>
    <xf numFmtId="165" fontId="6" fillId="6" borderId="25" xfId="0" applyNumberFormat="1" applyFont="1" applyFill="1" applyBorder="1" applyAlignment="1">
      <alignment horizontal="center" vertical="center" wrapText="1" shrinkToFit="1"/>
    </xf>
    <xf numFmtId="165" fontId="6" fillId="6" borderId="20" xfId="0" applyNumberFormat="1" applyFont="1" applyFill="1" applyBorder="1" applyAlignment="1">
      <alignment horizontal="center" vertical="center" wrapText="1"/>
    </xf>
    <xf numFmtId="165" fontId="6" fillId="6" borderId="25" xfId="0" applyNumberFormat="1" applyFont="1" applyFill="1" applyBorder="1" applyAlignment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 wrapText="1" shrinkToFit="1"/>
    </xf>
    <xf numFmtId="0" fontId="6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1" fontId="6" fillId="6" borderId="25" xfId="0" applyNumberFormat="1" applyFont="1" applyFill="1" applyBorder="1" applyAlignment="1">
      <alignment horizontal="center" vertical="center" wrapText="1"/>
    </xf>
    <xf numFmtId="165" fontId="6" fillId="5" borderId="19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65" fontId="5" fillId="5" borderId="21" xfId="0" applyNumberFormat="1" applyFont="1" applyFill="1" applyBorder="1" applyAlignment="1">
      <alignment horizontal="center" vertical="center" wrapText="1" shrinkToFit="1"/>
    </xf>
    <xf numFmtId="165" fontId="5" fillId="5" borderId="21" xfId="3" applyNumberFormat="1" applyFont="1" applyFill="1" applyBorder="1" applyAlignment="1">
      <alignment horizontal="center" vertical="center" wrapText="1" shrinkToFit="1"/>
    </xf>
    <xf numFmtId="164" fontId="6" fillId="6" borderId="20" xfId="0" applyNumberFormat="1" applyFont="1" applyFill="1" applyBorder="1" applyAlignment="1">
      <alignment horizontal="center" vertical="center" wrapText="1"/>
    </xf>
    <xf numFmtId="166" fontId="6" fillId="6" borderId="20" xfId="0" applyNumberFormat="1" applyFont="1" applyFill="1" applyBorder="1" applyAlignment="1">
      <alignment horizontal="center" vertical="center" wrapText="1"/>
    </xf>
    <xf numFmtId="1" fontId="6" fillId="6" borderId="20" xfId="0" applyNumberFormat="1" applyFont="1" applyFill="1" applyBorder="1" applyAlignment="1">
      <alignment horizontal="center" vertical="center" wrapText="1"/>
    </xf>
    <xf numFmtId="165" fontId="5" fillId="5" borderId="12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166" fontId="6" fillId="6" borderId="19" xfId="0" applyNumberFormat="1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/>
    </xf>
    <xf numFmtId="165" fontId="5" fillId="10" borderId="19" xfId="0" applyNumberFormat="1" applyFont="1" applyFill="1" applyBorder="1" applyAlignment="1">
      <alignment horizontal="center" vertical="center" wrapText="1"/>
    </xf>
    <xf numFmtId="165" fontId="6" fillId="10" borderId="12" xfId="0" applyNumberFormat="1" applyFont="1" applyFill="1" applyBorder="1" applyAlignment="1">
      <alignment horizontal="center" vertical="center" wrapText="1" shrinkToFit="1"/>
    </xf>
    <xf numFmtId="164" fontId="6" fillId="18" borderId="0" xfId="0" applyNumberFormat="1" applyFont="1" applyFill="1" applyAlignment="1">
      <alignment horizontal="center" vertical="center" wrapText="1"/>
    </xf>
    <xf numFmtId="1" fontId="6" fillId="18" borderId="0" xfId="0" applyNumberFormat="1" applyFont="1" applyFill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65" fontId="6" fillId="7" borderId="26" xfId="0" applyNumberFormat="1" applyFont="1" applyFill="1" applyBorder="1" applyAlignment="1">
      <alignment horizontal="center" vertical="center" wrapText="1"/>
    </xf>
    <xf numFmtId="0" fontId="6" fillId="18" borderId="0" xfId="0" applyFont="1" applyFill="1" applyAlignment="1">
      <alignment horizontal="center" vertical="center"/>
    </xf>
    <xf numFmtId="0" fontId="6" fillId="18" borderId="27" xfId="0" applyFont="1" applyFill="1" applyBorder="1" applyAlignment="1">
      <alignment horizontal="center" vertical="center"/>
    </xf>
    <xf numFmtId="0" fontId="6" fillId="18" borderId="20" xfId="0" applyFont="1" applyFill="1" applyBorder="1" applyAlignment="1">
      <alignment horizontal="center" vertical="center" wrapText="1" shrinkToFit="1"/>
    </xf>
    <xf numFmtId="0" fontId="5" fillId="18" borderId="20" xfId="0" applyFont="1" applyFill="1" applyBorder="1" applyAlignment="1">
      <alignment horizontal="center" vertical="center"/>
    </xf>
    <xf numFmtId="166" fontId="5" fillId="5" borderId="19" xfId="0" applyNumberFormat="1" applyFont="1" applyFill="1" applyBorder="1" applyAlignment="1">
      <alignment horizontal="center" vertical="center" wrapText="1"/>
    </xf>
    <xf numFmtId="166" fontId="5" fillId="5" borderId="20" xfId="0" applyNumberFormat="1" applyFont="1" applyFill="1" applyBorder="1" applyAlignment="1">
      <alignment horizontal="center" vertical="center" wrapText="1"/>
    </xf>
    <xf numFmtId="164" fontId="5" fillId="5" borderId="20" xfId="0" applyNumberFormat="1" applyFont="1" applyFill="1" applyBorder="1" applyAlignment="1">
      <alignment horizontal="center" vertical="center" wrapText="1"/>
    </xf>
    <xf numFmtId="1" fontId="5" fillId="5" borderId="20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center" vertical="center" wrapText="1"/>
    </xf>
    <xf numFmtId="165" fontId="7" fillId="6" borderId="2" xfId="0" applyNumberFormat="1" applyFont="1" applyFill="1" applyBorder="1" applyAlignment="1">
      <alignment horizontal="center" vertical="center" wrapText="1"/>
    </xf>
    <xf numFmtId="165" fontId="9" fillId="6" borderId="37" xfId="5" applyNumberFormat="1" applyFont="1" applyFill="1" applyBorder="1" applyAlignment="1">
      <alignment horizontal="center" vertical="center" textRotation="90" wrapText="1"/>
    </xf>
    <xf numFmtId="165" fontId="10" fillId="6" borderId="0" xfId="0" applyNumberFormat="1" applyFont="1" applyFill="1" applyAlignment="1">
      <alignment horizontal="center" vertical="center" wrapText="1"/>
    </xf>
    <xf numFmtId="165" fontId="6" fillId="6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165" fontId="6" fillId="18" borderId="0" xfId="0" applyNumberFormat="1" applyFont="1" applyFill="1" applyAlignment="1">
      <alignment horizontal="center" vertical="center" wrapText="1"/>
    </xf>
    <xf numFmtId="165" fontId="7" fillId="7" borderId="2" xfId="0" applyNumberFormat="1" applyFont="1" applyFill="1" applyBorder="1" applyAlignment="1">
      <alignment horizontal="center" vertical="center" wrapText="1"/>
    </xf>
    <xf numFmtId="165" fontId="10" fillId="7" borderId="37" xfId="0" applyNumberFormat="1" applyFont="1" applyFill="1" applyBorder="1" applyAlignment="1">
      <alignment horizontal="center" vertical="center" textRotation="90" wrapText="1"/>
    </xf>
    <xf numFmtId="165" fontId="6" fillId="0" borderId="23" xfId="0" applyNumberFormat="1" applyFont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 wrapText="1"/>
    </xf>
    <xf numFmtId="165" fontId="10" fillId="7" borderId="0" xfId="0" applyNumberFormat="1" applyFont="1" applyFill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165" fontId="5" fillId="5" borderId="14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165" fontId="5" fillId="6" borderId="13" xfId="0" applyNumberFormat="1" applyFont="1" applyFill="1" applyBorder="1" applyAlignment="1">
      <alignment horizontal="center" vertical="center" wrapText="1"/>
    </xf>
    <xf numFmtId="165" fontId="5" fillId="6" borderId="33" xfId="0" applyNumberFormat="1" applyFont="1" applyFill="1" applyBorder="1" applyAlignment="1">
      <alignment horizontal="center" vertical="center" wrapText="1"/>
    </xf>
    <xf numFmtId="165" fontId="5" fillId="6" borderId="25" xfId="0" applyNumberFormat="1" applyFont="1" applyFill="1" applyBorder="1" applyAlignment="1">
      <alignment horizontal="center" vertical="center" wrapText="1" shrinkToFit="1"/>
    </xf>
    <xf numFmtId="166" fontId="6" fillId="7" borderId="50" xfId="0" applyNumberFormat="1" applyFont="1" applyFill="1" applyBorder="1" applyAlignment="1">
      <alignment horizontal="center" vertical="center" wrapText="1"/>
    </xf>
    <xf numFmtId="165" fontId="5" fillId="6" borderId="0" xfId="0" applyNumberFormat="1" applyFont="1" applyFill="1" applyAlignment="1">
      <alignment horizontal="center" vertical="center" wrapText="1"/>
    </xf>
    <xf numFmtId="165" fontId="5" fillId="6" borderId="25" xfId="3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 vertical="center" wrapText="1"/>
    </xf>
    <xf numFmtId="165" fontId="5" fillId="6" borderId="20" xfId="0" applyNumberFormat="1" applyFont="1" applyFill="1" applyBorder="1" applyAlignment="1">
      <alignment horizontal="center" vertical="center" wrapText="1"/>
    </xf>
    <xf numFmtId="165" fontId="5" fillId="6" borderId="20" xfId="3" applyNumberFormat="1" applyFont="1" applyFill="1" applyBorder="1" applyAlignment="1">
      <alignment horizontal="center" vertical="center" wrapText="1"/>
    </xf>
    <xf numFmtId="1" fontId="5" fillId="6" borderId="25" xfId="3" applyNumberFormat="1" applyFont="1" applyFill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6" borderId="20" xfId="0" applyNumberFormat="1" applyFont="1" applyFill="1" applyBorder="1" applyAlignment="1">
      <alignment horizontal="center" vertical="center" wrapText="1" shrinkToFit="1"/>
    </xf>
    <xf numFmtId="165" fontId="5" fillId="6" borderId="20" xfId="3" applyNumberFormat="1" applyFont="1" applyFill="1" applyBorder="1" applyAlignment="1">
      <alignment horizontal="center" vertical="center" wrapText="1" shrinkToFit="1"/>
    </xf>
    <xf numFmtId="0" fontId="6" fillId="0" borderId="51" xfId="0" applyFont="1" applyBorder="1" applyAlignment="1">
      <alignment horizontal="center" vertical="center" wrapText="1"/>
    </xf>
    <xf numFmtId="165" fontId="6" fillId="0" borderId="51" xfId="0" applyNumberFormat="1" applyFont="1" applyBorder="1" applyAlignment="1">
      <alignment horizontal="center" vertical="center" wrapText="1"/>
    </xf>
    <xf numFmtId="165" fontId="5" fillId="6" borderId="51" xfId="0" applyNumberFormat="1" applyFont="1" applyFill="1" applyBorder="1" applyAlignment="1">
      <alignment horizontal="center" vertical="center" wrapText="1"/>
    </xf>
    <xf numFmtId="165" fontId="6" fillId="6" borderId="51" xfId="0" applyNumberFormat="1" applyFont="1" applyFill="1" applyBorder="1" applyAlignment="1">
      <alignment horizontal="center" vertical="center" wrapText="1"/>
    </xf>
    <xf numFmtId="1" fontId="6" fillId="0" borderId="25" xfId="0" applyNumberFormat="1" applyFont="1" applyBorder="1" applyAlignment="1">
      <alignment horizontal="center" vertical="center" wrapText="1"/>
    </xf>
    <xf numFmtId="1" fontId="5" fillId="6" borderId="25" xfId="0" applyNumberFormat="1" applyFont="1" applyFill="1" applyBorder="1" applyAlignment="1">
      <alignment horizontal="center" vertical="center" wrapText="1"/>
    </xf>
    <xf numFmtId="1" fontId="5" fillId="6" borderId="20" xfId="3" applyNumberFormat="1" applyFont="1" applyFill="1" applyBorder="1" applyAlignment="1">
      <alignment horizontal="center" vertical="center" wrapText="1"/>
    </xf>
    <xf numFmtId="1" fontId="5" fillId="6" borderId="20" xfId="0" applyNumberFormat="1" applyFont="1" applyFill="1" applyBorder="1" applyAlignment="1">
      <alignment horizontal="center" vertical="center" wrapText="1"/>
    </xf>
    <xf numFmtId="1" fontId="6" fillId="6" borderId="20" xfId="0" applyNumberFormat="1" applyFont="1" applyFill="1" applyBorder="1" applyAlignment="1">
      <alignment horizontal="center" vertical="center" wrapText="1" shrinkToFit="1"/>
    </xf>
    <xf numFmtId="1" fontId="5" fillId="6" borderId="25" xfId="3" applyNumberFormat="1" applyFont="1" applyFill="1" applyBorder="1" applyAlignment="1">
      <alignment horizontal="center" vertical="center" wrapText="1" shrinkToFit="1"/>
    </xf>
    <xf numFmtId="0" fontId="6" fillId="0" borderId="51" xfId="0" applyFont="1" applyBorder="1" applyAlignment="1">
      <alignment horizontal="center" vertical="center"/>
    </xf>
    <xf numFmtId="166" fontId="5" fillId="18" borderId="12" xfId="0" applyNumberFormat="1" applyFont="1" applyFill="1" applyBorder="1" applyAlignment="1">
      <alignment horizontal="center" vertical="center" wrapText="1"/>
    </xf>
    <xf numFmtId="166" fontId="5" fillId="18" borderId="22" xfId="0" applyNumberFormat="1" applyFont="1" applyFill="1" applyBorder="1" applyAlignment="1">
      <alignment horizontal="center" vertical="center" wrapText="1"/>
    </xf>
    <xf numFmtId="165" fontId="6" fillId="10" borderId="21" xfId="0" applyNumberFormat="1" applyFont="1" applyFill="1" applyBorder="1" applyAlignment="1">
      <alignment horizontal="center" vertical="center" wrapText="1"/>
    </xf>
    <xf numFmtId="166" fontId="10" fillId="14" borderId="0" xfId="0" applyNumberFormat="1" applyFont="1" applyFill="1" applyAlignment="1">
      <alignment horizontal="center" vertical="center"/>
    </xf>
    <xf numFmtId="166" fontId="10" fillId="20" borderId="43" xfId="0" applyNumberFormat="1" applyFont="1" applyFill="1" applyBorder="1" applyAlignment="1">
      <alignment horizontal="center" vertical="center"/>
    </xf>
    <xf numFmtId="164" fontId="10" fillId="20" borderId="0" xfId="0" applyNumberFormat="1" applyFont="1" applyFill="1" applyBorder="1" applyAlignment="1">
      <alignment horizontal="center" vertical="center"/>
    </xf>
    <xf numFmtId="164" fontId="9" fillId="20" borderId="0" xfId="0" applyNumberFormat="1" applyFont="1" applyFill="1" applyBorder="1" applyAlignment="1">
      <alignment horizontal="center" vertical="center" wrapText="1" shrinkToFit="1"/>
    </xf>
    <xf numFmtId="164" fontId="9" fillId="10" borderId="0" xfId="0" applyNumberFormat="1" applyFont="1" applyFill="1" applyBorder="1" applyAlignment="1">
      <alignment horizontal="center" vertical="center" wrapText="1" shrinkToFit="1"/>
    </xf>
    <xf numFmtId="165" fontId="9" fillId="10" borderId="0" xfId="0" applyNumberFormat="1" applyFont="1" applyFill="1" applyBorder="1" applyAlignment="1">
      <alignment horizontal="center" vertical="center" wrapText="1" shrinkToFit="1"/>
    </xf>
    <xf numFmtId="166" fontId="6" fillId="7" borderId="6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19" borderId="4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64" fontId="6" fillId="19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164" fontId="10" fillId="7" borderId="40" xfId="0" applyNumberFormat="1" applyFont="1" applyFill="1" applyBorder="1" applyAlignment="1">
      <alignment horizontal="center" vertical="center" wrapText="1"/>
    </xf>
    <xf numFmtId="164" fontId="10" fillId="19" borderId="0" xfId="0" applyNumberFormat="1" applyFont="1" applyFill="1" applyBorder="1" applyAlignment="1">
      <alignment horizontal="center" vertical="center" wrapText="1"/>
    </xf>
    <xf numFmtId="164" fontId="10" fillId="9" borderId="0" xfId="0" applyNumberFormat="1" applyFont="1" applyFill="1" applyBorder="1" applyAlignment="1">
      <alignment horizontal="center" vertical="center" wrapText="1"/>
    </xf>
    <xf numFmtId="164" fontId="10" fillId="7" borderId="0" xfId="0" applyNumberFormat="1" applyFont="1" applyFill="1" applyBorder="1" applyAlignment="1">
      <alignment horizontal="center" vertical="center" wrapText="1"/>
    </xf>
    <xf numFmtId="165" fontId="6" fillId="0" borderId="40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5" fontId="10" fillId="9" borderId="0" xfId="0" applyNumberFormat="1" applyFont="1" applyFill="1" applyBorder="1" applyAlignment="1">
      <alignment horizontal="center" vertical="center" wrapText="1"/>
    </xf>
    <xf numFmtId="165" fontId="6" fillId="0" borderId="42" xfId="0" applyNumberFormat="1" applyFont="1" applyBorder="1" applyAlignment="1">
      <alignment horizontal="center" vertical="center" wrapText="1"/>
    </xf>
    <xf numFmtId="165" fontId="10" fillId="19" borderId="43" xfId="0" applyNumberFormat="1" applyFont="1" applyFill="1" applyBorder="1" applyAlignment="1">
      <alignment horizontal="center" vertical="center" wrapText="1"/>
    </xf>
    <xf numFmtId="165" fontId="10" fillId="0" borderId="43" xfId="0" applyNumberFormat="1" applyFont="1" applyBorder="1" applyAlignment="1">
      <alignment horizontal="center" vertical="center" wrapText="1"/>
    </xf>
    <xf numFmtId="164" fontId="6" fillId="0" borderId="43" xfId="0" applyNumberFormat="1" applyFont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/>
    </xf>
    <xf numFmtId="165" fontId="10" fillId="17" borderId="0" xfId="0" applyNumberFormat="1" applyFont="1" applyFill="1" applyAlignment="1">
      <alignment horizontal="center" vertical="center" wrapText="1"/>
    </xf>
    <xf numFmtId="165" fontId="6" fillId="5" borderId="21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166" fontId="6" fillId="6" borderId="21" xfId="0" applyNumberFormat="1" applyFont="1" applyFill="1" applyBorder="1" applyAlignment="1">
      <alignment horizontal="center" vertical="center" wrapText="1"/>
    </xf>
    <xf numFmtId="165" fontId="13" fillId="0" borderId="21" xfId="0" applyNumberFormat="1" applyFont="1" applyBorder="1" applyAlignment="1">
      <alignment horizontal="center" vertical="center" wrapText="1"/>
    </xf>
    <xf numFmtId="164" fontId="5" fillId="7" borderId="14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center" vertical="center" wrapText="1"/>
    </xf>
    <xf numFmtId="166" fontId="6" fillId="5" borderId="12" xfId="0" applyNumberFormat="1" applyFont="1" applyFill="1" applyBorder="1" applyAlignment="1">
      <alignment horizontal="center" vertical="center" wrapText="1"/>
    </xf>
    <xf numFmtId="1" fontId="6" fillId="5" borderId="12" xfId="0" applyNumberFormat="1" applyFont="1" applyFill="1" applyBorder="1" applyAlignment="1">
      <alignment horizontal="center" vertical="center" wrapText="1"/>
    </xf>
    <xf numFmtId="164" fontId="18" fillId="7" borderId="12" xfId="0" applyNumberFormat="1" applyFont="1" applyFill="1" applyBorder="1" applyAlignment="1">
      <alignment horizontal="center" vertical="center" wrapText="1"/>
    </xf>
    <xf numFmtId="166" fontId="18" fillId="7" borderId="12" xfId="0" applyNumberFormat="1" applyFont="1" applyFill="1" applyBorder="1" applyAlignment="1">
      <alignment horizontal="center" vertical="center" wrapText="1"/>
    </xf>
    <xf numFmtId="1" fontId="18" fillId="7" borderId="12" xfId="0" applyNumberFormat="1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5" fillId="7" borderId="19" xfId="0" applyNumberFormat="1" applyFont="1" applyFill="1" applyBorder="1" applyAlignment="1">
      <alignment horizontal="center" vertical="center" wrapText="1"/>
    </xf>
    <xf numFmtId="3" fontId="6" fillId="7" borderId="12" xfId="0" applyNumberFormat="1" applyFont="1" applyFill="1" applyBorder="1" applyAlignment="1">
      <alignment horizontal="center" vertical="center" wrapText="1"/>
    </xf>
    <xf numFmtId="164" fontId="6" fillId="7" borderId="19" xfId="0" applyNumberFormat="1" applyFont="1" applyFill="1" applyBorder="1" applyAlignment="1">
      <alignment horizontal="center" vertical="center" wrapText="1"/>
    </xf>
    <xf numFmtId="165" fontId="10" fillId="6" borderId="55" xfId="0" applyNumberFormat="1" applyFont="1" applyFill="1" applyBorder="1" applyAlignment="1">
      <alignment horizontal="center" vertical="center" textRotation="90" wrapText="1"/>
    </xf>
    <xf numFmtId="165" fontId="5" fillId="6" borderId="57" xfId="0" applyNumberFormat="1" applyFont="1" applyFill="1" applyBorder="1" applyAlignment="1">
      <alignment horizontal="center" vertical="center" wrapText="1"/>
    </xf>
    <xf numFmtId="165" fontId="6" fillId="6" borderId="59" xfId="0" applyNumberFormat="1" applyFont="1" applyFill="1" applyBorder="1" applyAlignment="1">
      <alignment horizontal="center" vertical="center" wrapText="1"/>
    </xf>
    <xf numFmtId="165" fontId="6" fillId="6" borderId="59" xfId="0" applyNumberFormat="1" applyFont="1" applyFill="1" applyBorder="1" applyAlignment="1">
      <alignment horizontal="center" vertical="center" wrapText="1" shrinkToFit="1"/>
    </xf>
    <xf numFmtId="1" fontId="6" fillId="6" borderId="59" xfId="0" applyNumberFormat="1" applyFont="1" applyFill="1" applyBorder="1" applyAlignment="1">
      <alignment horizontal="center" vertical="center" wrapText="1"/>
    </xf>
    <xf numFmtId="165" fontId="5" fillId="6" borderId="59" xfId="0" applyNumberFormat="1" applyFont="1" applyFill="1" applyBorder="1" applyAlignment="1">
      <alignment horizontal="center" vertical="center" wrapText="1"/>
    </xf>
    <xf numFmtId="165" fontId="5" fillId="6" borderId="60" xfId="0" applyNumberFormat="1" applyFont="1" applyFill="1" applyBorder="1" applyAlignment="1">
      <alignment horizontal="center" vertical="center" wrapText="1"/>
    </xf>
    <xf numFmtId="165" fontId="5" fillId="6" borderId="60" xfId="0" applyNumberFormat="1" applyFont="1" applyFill="1" applyBorder="1" applyAlignment="1">
      <alignment horizontal="center" vertical="center" wrapText="1" shrinkToFit="1"/>
    </xf>
    <xf numFmtId="165" fontId="5" fillId="6" borderId="59" xfId="0" applyNumberFormat="1" applyFont="1" applyFill="1" applyBorder="1" applyAlignment="1">
      <alignment horizontal="center" vertical="center" wrapText="1" shrinkToFit="1"/>
    </xf>
    <xf numFmtId="0" fontId="5" fillId="0" borderId="58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wrapText="1"/>
    </xf>
    <xf numFmtId="165" fontId="5" fillId="5" borderId="59" xfId="0" applyNumberFormat="1" applyFont="1" applyFill="1" applyBorder="1" applyAlignment="1">
      <alignment horizontal="center" vertical="center" wrapText="1" shrinkToFit="1"/>
    </xf>
    <xf numFmtId="165" fontId="5" fillId="0" borderId="59" xfId="0" applyNumberFormat="1" applyFont="1" applyFill="1" applyBorder="1" applyAlignment="1">
      <alignment horizontal="center" vertical="center" wrapText="1" shrinkToFit="1"/>
    </xf>
    <xf numFmtId="0" fontId="6" fillId="0" borderId="61" xfId="0" applyFont="1" applyBorder="1" applyAlignment="1">
      <alignment horizontal="center" vertical="center" wrapText="1"/>
    </xf>
    <xf numFmtId="165" fontId="6" fillId="0" borderId="59" xfId="0" applyNumberFormat="1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165" fontId="6" fillId="0" borderId="60" xfId="0" applyNumberFormat="1" applyFont="1" applyBorder="1" applyAlignment="1">
      <alignment horizontal="center" vertical="center" wrapText="1"/>
    </xf>
    <xf numFmtId="165" fontId="6" fillId="6" borderId="60" xfId="0" applyNumberFormat="1" applyFont="1" applyFill="1" applyBorder="1" applyAlignment="1">
      <alignment horizontal="center" vertical="center" wrapText="1"/>
    </xf>
    <xf numFmtId="165" fontId="5" fillId="0" borderId="59" xfId="0" applyNumberFormat="1" applyFont="1" applyBorder="1" applyAlignment="1">
      <alignment horizontal="center" vertical="center" wrapText="1"/>
    </xf>
    <xf numFmtId="165" fontId="5" fillId="0" borderId="60" xfId="0" applyNumberFormat="1" applyFont="1" applyBorder="1" applyAlignment="1">
      <alignment horizontal="center" vertical="center" wrapText="1"/>
    </xf>
    <xf numFmtId="165" fontId="5" fillId="6" borderId="59" xfId="3" applyNumberFormat="1" applyFont="1" applyFill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164" fontId="6" fillId="6" borderId="59" xfId="0" applyNumberFormat="1" applyFont="1" applyFill="1" applyBorder="1" applyAlignment="1">
      <alignment horizontal="center" vertical="center" wrapText="1"/>
    </xf>
    <xf numFmtId="1" fontId="5" fillId="6" borderId="60" xfId="0" applyNumberFormat="1" applyFont="1" applyFill="1" applyBorder="1" applyAlignment="1">
      <alignment horizontal="center" vertical="center" wrapText="1" shrinkToFit="1"/>
    </xf>
    <xf numFmtId="165" fontId="6" fillId="6" borderId="60" xfId="0" applyNumberFormat="1" applyFont="1" applyFill="1" applyBorder="1" applyAlignment="1">
      <alignment horizontal="center" vertical="center" wrapText="1" shrinkToFit="1"/>
    </xf>
    <xf numFmtId="1" fontId="5" fillId="6" borderId="60" xfId="0" applyNumberFormat="1" applyFont="1" applyFill="1" applyBorder="1" applyAlignment="1">
      <alignment horizontal="center" vertical="center" wrapText="1"/>
    </xf>
    <xf numFmtId="166" fontId="5" fillId="6" borderId="60" xfId="0" applyNumberFormat="1" applyFont="1" applyFill="1" applyBorder="1" applyAlignment="1">
      <alignment horizontal="center" vertical="center" wrapText="1"/>
    </xf>
    <xf numFmtId="165" fontId="5" fillId="6" borderId="60" xfId="3" applyNumberFormat="1" applyFont="1" applyFill="1" applyBorder="1" applyAlignment="1">
      <alignment horizontal="center" vertical="center" wrapText="1" shrinkToFit="1"/>
    </xf>
    <xf numFmtId="165" fontId="5" fillId="6" borderId="60" xfId="3" applyNumberFormat="1" applyFont="1" applyFill="1" applyBorder="1" applyAlignment="1">
      <alignment horizontal="center" vertical="center" wrapText="1"/>
    </xf>
    <xf numFmtId="1" fontId="5" fillId="6" borderId="59" xfId="3" applyNumberFormat="1" applyFont="1" applyFill="1" applyBorder="1" applyAlignment="1">
      <alignment horizontal="center" vertical="center" wrapText="1"/>
    </xf>
    <xf numFmtId="1" fontId="5" fillId="0" borderId="60" xfId="0" applyNumberFormat="1" applyFont="1" applyBorder="1" applyAlignment="1">
      <alignment horizontal="center" vertical="center" wrapText="1"/>
    </xf>
    <xf numFmtId="1" fontId="5" fillId="6" borderId="59" xfId="0" applyNumberFormat="1" applyFont="1" applyFill="1" applyBorder="1" applyAlignment="1">
      <alignment horizontal="center" vertical="center" wrapText="1" shrinkToFit="1"/>
    </xf>
    <xf numFmtId="1" fontId="5" fillId="6" borderId="59" xfId="0" applyNumberFormat="1" applyFont="1" applyFill="1" applyBorder="1" applyAlignment="1">
      <alignment horizontal="center" vertical="center" wrapText="1"/>
    </xf>
    <xf numFmtId="164" fontId="6" fillId="6" borderId="60" xfId="0" applyNumberFormat="1" applyFont="1" applyFill="1" applyBorder="1" applyAlignment="1">
      <alignment horizontal="center" vertical="center" wrapText="1"/>
    </xf>
    <xf numFmtId="165" fontId="5" fillId="0" borderId="59" xfId="3" applyNumberFormat="1" applyFont="1" applyFill="1" applyBorder="1" applyAlignment="1">
      <alignment horizontal="center" vertical="center" wrapText="1"/>
    </xf>
    <xf numFmtId="165" fontId="13" fillId="0" borderId="60" xfId="0" applyNumberFormat="1" applyFont="1" applyBorder="1" applyAlignment="1">
      <alignment horizontal="center" vertical="center" wrapText="1"/>
    </xf>
    <xf numFmtId="165" fontId="6" fillId="6" borderId="62" xfId="0" applyNumberFormat="1" applyFont="1" applyFill="1" applyBorder="1" applyAlignment="1">
      <alignment horizontal="center" vertical="center" wrapText="1"/>
    </xf>
    <xf numFmtId="0" fontId="5" fillId="5" borderId="64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165" fontId="5" fillId="7" borderId="64" xfId="0" applyNumberFormat="1" applyFont="1" applyFill="1" applyBorder="1" applyAlignment="1">
      <alignment horizontal="center" vertical="center" wrapText="1"/>
    </xf>
    <xf numFmtId="1" fontId="5" fillId="7" borderId="64" xfId="0" applyNumberFormat="1" applyFont="1" applyFill="1" applyBorder="1" applyAlignment="1">
      <alignment horizontal="center" vertical="center" wrapText="1"/>
    </xf>
    <xf numFmtId="164" fontId="5" fillId="7" borderId="64" xfId="0" applyNumberFormat="1" applyFont="1" applyFill="1" applyBorder="1" applyAlignment="1">
      <alignment horizontal="center" vertical="center" wrapText="1"/>
    </xf>
    <xf numFmtId="165" fontId="6" fillId="0" borderId="67" xfId="0" applyNumberFormat="1" applyFont="1" applyBorder="1" applyAlignment="1">
      <alignment horizontal="center" vertical="center" wrapText="1"/>
    </xf>
    <xf numFmtId="165" fontId="6" fillId="0" borderId="64" xfId="0" applyNumberFormat="1" applyFont="1" applyBorder="1" applyAlignment="1">
      <alignment horizontal="center" vertical="center" wrapText="1"/>
    </xf>
    <xf numFmtId="165" fontId="5" fillId="0" borderId="67" xfId="0" applyNumberFormat="1" applyFont="1" applyBorder="1" applyAlignment="1">
      <alignment horizontal="center" vertical="center" wrapText="1"/>
    </xf>
    <xf numFmtId="1" fontId="5" fillId="0" borderId="67" xfId="0" applyNumberFormat="1" applyFont="1" applyBorder="1" applyAlignment="1">
      <alignment horizontal="center" vertical="center" wrapText="1"/>
    </xf>
    <xf numFmtId="165" fontId="5" fillId="0" borderId="68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4" fontId="10" fillId="7" borderId="37" xfId="0" applyNumberFormat="1" applyFont="1" applyFill="1" applyBorder="1" applyAlignment="1">
      <alignment horizontal="center" vertical="center" textRotation="90" wrapText="1"/>
    </xf>
    <xf numFmtId="164" fontId="5" fillId="7" borderId="13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 wrapText="1"/>
    </xf>
    <xf numFmtId="164" fontId="5" fillId="5" borderId="19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6" fillId="7" borderId="19" xfId="0" applyNumberFormat="1" applyFont="1" applyFill="1" applyBorder="1" applyAlignment="1">
      <alignment horizontal="center" vertical="center" wrapText="1" shrinkToFit="1"/>
    </xf>
    <xf numFmtId="164" fontId="12" fillId="0" borderId="19" xfId="0" applyNumberFormat="1" applyFont="1" applyBorder="1" applyAlignment="1">
      <alignment horizontal="center" vertical="center" wrapText="1"/>
    </xf>
    <xf numFmtId="164" fontId="0" fillId="0" borderId="19" xfId="0" applyNumberFormat="1" applyBorder="1"/>
    <xf numFmtId="164" fontId="6" fillId="7" borderId="6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9" fontId="9" fillId="0" borderId="9" xfId="5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54" xfId="5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 shrinkToFit="1"/>
    </xf>
    <xf numFmtId="0" fontId="5" fillId="0" borderId="6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0" fillId="6" borderId="73" xfId="0" applyFont="1" applyFill="1" applyBorder="1" applyAlignment="1">
      <alignment horizontal="center" vertical="center"/>
    </xf>
    <xf numFmtId="0" fontId="20" fillId="6" borderId="71" xfId="0" applyFont="1" applyFill="1" applyBorder="1" applyAlignment="1">
      <alignment horizontal="center" vertical="center"/>
    </xf>
    <xf numFmtId="0" fontId="20" fillId="6" borderId="74" xfId="0" applyFont="1" applyFill="1" applyBorder="1" applyAlignment="1">
      <alignment horizontal="center" vertical="center"/>
    </xf>
    <xf numFmtId="0" fontId="20" fillId="7" borderId="70" xfId="0" applyFont="1" applyFill="1" applyBorder="1" applyAlignment="1">
      <alignment horizontal="center" vertical="center"/>
    </xf>
    <xf numFmtId="0" fontId="20" fillId="7" borderId="71" xfId="0" applyFont="1" applyFill="1" applyBorder="1" applyAlignment="1">
      <alignment horizontal="center" vertical="center"/>
    </xf>
    <xf numFmtId="0" fontId="20" fillId="7" borderId="72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</cellXfs>
  <cellStyles count="6">
    <cellStyle name="Kontrolní buňka" xfId="4" builtinId="23"/>
    <cellStyle name="Normální" xfId="0" builtinId="0"/>
    <cellStyle name="Normální 2" xfId="5" xr:uid="{00000000-0005-0000-0000-000002000000}"/>
    <cellStyle name="Procenta" xfId="1" builtinId="5"/>
    <cellStyle name="Správně" xfId="2" builtinId="26"/>
    <cellStyle name="Špatně" xfId="3" builtinId="27"/>
  </cellStyles>
  <dxfs count="0"/>
  <tableStyles count="0" defaultTableStyle="TableStyleMedium2" defaultPivotStyle="PivotStyleLight16"/>
  <colors>
    <mruColors>
      <color rgb="FFFF7C8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93"/>
  <sheetViews>
    <sheetView zoomScaleNormal="100" workbookViewId="0">
      <pane xSplit="6" ySplit="2" topLeftCell="G14" activePane="bottomRight" state="frozen"/>
      <selection pane="topRight" activeCell="G1" sqref="G1"/>
      <selection pane="bottomLeft" activeCell="A3" sqref="A3"/>
      <selection pane="bottomRight" activeCell="J47" sqref="J47:T47"/>
    </sheetView>
  </sheetViews>
  <sheetFormatPr defaultColWidth="14.375" defaultRowHeight="12.75" x14ac:dyDescent="0.2"/>
  <cols>
    <col min="1" max="1" width="5" style="1" customWidth="1"/>
    <col min="2" max="5" width="0" style="2" hidden="1" customWidth="1"/>
    <col min="6" max="6" width="11.375" style="2" customWidth="1"/>
    <col min="7" max="7" width="14.375" style="3"/>
    <col min="8" max="8" width="14.375" style="183"/>
    <col min="9" max="9" width="14.375" style="323"/>
    <col min="10" max="10" width="14.375" style="143"/>
    <col min="11" max="11" width="0" style="4" hidden="1" customWidth="1"/>
    <col min="12" max="12" width="11.625" style="128" customWidth="1"/>
    <col min="13" max="13" width="0" style="4" hidden="1" customWidth="1"/>
    <col min="14" max="14" width="10.625" style="10" customWidth="1"/>
    <col min="15" max="17" width="6.875" style="10" customWidth="1"/>
    <col min="18" max="18" width="8.875" style="128" customWidth="1"/>
    <col min="19" max="19" width="0" style="4" hidden="1" customWidth="1"/>
    <col min="20" max="20" width="14.375" style="128"/>
    <col min="21" max="21" width="0" style="128" hidden="1" customWidth="1"/>
    <col min="22" max="22" width="14.375" style="11"/>
    <col min="23" max="23" width="0" style="11" hidden="1" customWidth="1"/>
    <col min="24" max="24" width="14.375" style="11"/>
    <col min="25" max="25" width="0" style="11" hidden="1" customWidth="1"/>
    <col min="26" max="26" width="14.375" style="143"/>
    <col min="27" max="27" width="0" style="4" hidden="1" customWidth="1"/>
    <col min="28" max="28" width="0" style="128" hidden="1" customWidth="1"/>
    <col min="29" max="29" width="9.375" style="128" customWidth="1"/>
    <col min="30" max="30" width="0" style="4" hidden="1" customWidth="1"/>
    <col min="31" max="31" width="10.625" style="10" customWidth="1"/>
    <col min="32" max="32" width="7.625" style="10" customWidth="1"/>
    <col min="33" max="33" width="8" style="10" customWidth="1"/>
    <col min="34" max="34" width="6.375" style="10" customWidth="1"/>
    <col min="35" max="35" width="10" style="128" customWidth="1"/>
    <col min="36" max="36" width="0" style="128" hidden="1" customWidth="1"/>
    <col min="37" max="37" width="10.625" style="128" customWidth="1"/>
    <col min="38" max="38" width="0" style="128" hidden="1" customWidth="1"/>
    <col min="39" max="39" width="14.375" style="201"/>
    <col min="40" max="40" width="0" style="201" hidden="1" customWidth="1"/>
    <col min="41" max="41" width="14.375" style="183"/>
    <col min="42" max="43" width="14.375" style="153"/>
    <col min="44" max="45" width="14.375" style="154"/>
    <col min="46" max="46" width="14.375" style="155"/>
    <col min="47" max="50" width="14.375" style="156"/>
    <col min="57" max="16384" width="14.375" style="11"/>
  </cols>
  <sheetData>
    <row r="1" spans="1:50" ht="15.75" thickBot="1" x14ac:dyDescent="0.25">
      <c r="J1" s="518"/>
      <c r="K1" s="5" t="s">
        <v>0</v>
      </c>
      <c r="L1" s="228"/>
      <c r="M1" s="5"/>
      <c r="N1" s="6"/>
      <c r="O1" s="6"/>
      <c r="P1" s="6"/>
      <c r="Q1" s="6"/>
      <c r="R1" s="5"/>
      <c r="S1" s="5"/>
      <c r="T1" s="5"/>
      <c r="U1" s="5"/>
      <c r="V1" s="5"/>
      <c r="W1" s="5"/>
      <c r="X1" s="5"/>
      <c r="Y1" s="229"/>
      <c r="Z1" s="524"/>
      <c r="AA1" s="7" t="s">
        <v>1</v>
      </c>
      <c r="AB1" s="9"/>
      <c r="AC1" s="9"/>
      <c r="AD1" s="7"/>
      <c r="AE1" s="8"/>
      <c r="AF1" s="8"/>
      <c r="AG1" s="8"/>
      <c r="AH1" s="8"/>
      <c r="AI1" s="9"/>
      <c r="AJ1" s="9"/>
      <c r="AK1" s="9"/>
      <c r="AL1" s="9"/>
      <c r="AM1" s="234"/>
      <c r="AN1" s="235"/>
    </row>
    <row r="2" spans="1:50" ht="143.25" thickBot="1" x14ac:dyDescent="0.25">
      <c r="A2" s="12" t="s">
        <v>2</v>
      </c>
      <c r="B2" s="13" t="s">
        <v>3</v>
      </c>
      <c r="C2" s="464" t="s">
        <v>1782</v>
      </c>
      <c r="D2" s="464" t="s">
        <v>1783</v>
      </c>
      <c r="E2" s="13" t="s">
        <v>1784</v>
      </c>
      <c r="F2" s="13" t="s">
        <v>4</v>
      </c>
      <c r="G2" s="14" t="s">
        <v>5</v>
      </c>
      <c r="H2" s="186" t="s">
        <v>6</v>
      </c>
      <c r="I2" s="324" t="s">
        <v>7</v>
      </c>
      <c r="J2" s="519" t="s">
        <v>1653</v>
      </c>
      <c r="K2" s="224" t="s">
        <v>1646</v>
      </c>
      <c r="L2" s="226" t="s">
        <v>1649</v>
      </c>
      <c r="M2" s="224" t="s">
        <v>1647</v>
      </c>
      <c r="N2" s="225" t="s">
        <v>9</v>
      </c>
      <c r="O2" s="225" t="s">
        <v>10</v>
      </c>
      <c r="P2" s="225" t="s">
        <v>11</v>
      </c>
      <c r="Q2" s="225" t="s">
        <v>12</v>
      </c>
      <c r="R2" s="224" t="s">
        <v>1648</v>
      </c>
      <c r="S2" s="224" t="s">
        <v>1645</v>
      </c>
      <c r="T2" s="227" t="s">
        <v>1638</v>
      </c>
      <c r="U2" s="227" t="s">
        <v>1639</v>
      </c>
      <c r="V2" s="224" t="s">
        <v>1634</v>
      </c>
      <c r="W2" s="224" t="s">
        <v>1635</v>
      </c>
      <c r="X2" s="278" t="s">
        <v>1636</v>
      </c>
      <c r="Y2" s="279" t="s">
        <v>1637</v>
      </c>
      <c r="Z2" s="525" t="s">
        <v>1650</v>
      </c>
      <c r="AA2" s="231" t="s">
        <v>1651</v>
      </c>
      <c r="AB2" s="230" t="s">
        <v>13</v>
      </c>
      <c r="AC2" s="230" t="s">
        <v>1649</v>
      </c>
      <c r="AD2" s="231" t="s">
        <v>8</v>
      </c>
      <c r="AE2" s="295" t="s">
        <v>9</v>
      </c>
      <c r="AF2" s="232" t="s">
        <v>10</v>
      </c>
      <c r="AG2" s="232" t="s">
        <v>11</v>
      </c>
      <c r="AH2" s="295" t="s">
        <v>14</v>
      </c>
      <c r="AI2" s="230" t="s">
        <v>1644</v>
      </c>
      <c r="AJ2" s="230" t="s">
        <v>1641</v>
      </c>
      <c r="AK2" s="233" t="s">
        <v>1638</v>
      </c>
      <c r="AL2" s="233" t="s">
        <v>1639</v>
      </c>
      <c r="AM2" s="230" t="s">
        <v>1632</v>
      </c>
      <c r="AN2" s="296" t="s">
        <v>1633</v>
      </c>
      <c r="AO2" s="160" t="s">
        <v>15</v>
      </c>
      <c r="AP2" s="157" t="s">
        <v>16</v>
      </c>
      <c r="AQ2" s="157" t="s">
        <v>17</v>
      </c>
      <c r="AR2" s="158" t="s">
        <v>18</v>
      </c>
      <c r="AS2" s="159" t="s">
        <v>19</v>
      </c>
      <c r="AT2" s="160" t="s">
        <v>20</v>
      </c>
      <c r="AU2" s="160" t="s">
        <v>21</v>
      </c>
      <c r="AV2" s="160" t="s">
        <v>22</v>
      </c>
      <c r="AW2" s="160" t="s">
        <v>23</v>
      </c>
      <c r="AX2" s="161" t="s">
        <v>24</v>
      </c>
    </row>
    <row r="3" spans="1:50" ht="63" x14ac:dyDescent="0.2">
      <c r="A3" s="529" t="s">
        <v>25</v>
      </c>
      <c r="B3" s="530" t="s">
        <v>1816</v>
      </c>
      <c r="C3" s="531">
        <f>124.294-0.672</f>
        <v>123.622</v>
      </c>
      <c r="D3" s="532">
        <f t="shared" ref="D3:D66" si="0">J3+Z3</f>
        <v>125.483</v>
      </c>
      <c r="E3" s="532">
        <f>D3-C3</f>
        <v>1.8610000000000042</v>
      </c>
      <c r="F3" s="533" t="s">
        <v>26</v>
      </c>
      <c r="G3" s="15" t="s">
        <v>27</v>
      </c>
      <c r="H3" s="187"/>
      <c r="I3" s="325" t="s">
        <v>28</v>
      </c>
      <c r="J3" s="534">
        <v>114.75700000000001</v>
      </c>
      <c r="K3" s="17" t="s">
        <v>29</v>
      </c>
      <c r="L3" s="16">
        <v>73.3</v>
      </c>
      <c r="M3" s="18" t="s">
        <v>1814</v>
      </c>
      <c r="N3" s="19">
        <v>85</v>
      </c>
      <c r="O3" s="19">
        <v>19</v>
      </c>
      <c r="P3" s="19">
        <v>34</v>
      </c>
      <c r="Q3" s="19">
        <v>0</v>
      </c>
      <c r="R3" s="18"/>
      <c r="S3" s="18"/>
      <c r="T3" s="209"/>
      <c r="U3" s="535"/>
      <c r="V3" s="28">
        <v>114.75700000000001</v>
      </c>
      <c r="W3" s="29" t="s">
        <v>29</v>
      </c>
      <c r="X3" s="149"/>
      <c r="Y3" s="249"/>
      <c r="Z3" s="297">
        <v>10.726000000000001</v>
      </c>
      <c r="AA3" s="20" t="s">
        <v>30</v>
      </c>
      <c r="AB3" s="21"/>
      <c r="AC3" s="22">
        <v>3</v>
      </c>
      <c r="AD3" s="20" t="s">
        <v>1719</v>
      </c>
      <c r="AE3" s="468">
        <v>8</v>
      </c>
      <c r="AF3" s="468">
        <v>0</v>
      </c>
      <c r="AG3" s="468">
        <v>0</v>
      </c>
      <c r="AH3" s="468">
        <v>0</v>
      </c>
      <c r="AI3" s="22"/>
      <c r="AJ3" s="22"/>
      <c r="AK3" s="216"/>
      <c r="AL3" s="216"/>
      <c r="AM3" s="98"/>
      <c r="AN3" s="298"/>
      <c r="AO3" s="236" t="s">
        <v>31</v>
      </c>
      <c r="AP3" s="162">
        <v>124</v>
      </c>
      <c r="AQ3" s="163">
        <v>697</v>
      </c>
      <c r="AR3" s="164" t="s">
        <v>32</v>
      </c>
      <c r="AS3" s="165" t="s">
        <v>33</v>
      </c>
      <c r="AT3" s="155">
        <v>97.763999999999996</v>
      </c>
      <c r="AU3" s="156">
        <v>98.539000000000001</v>
      </c>
      <c r="AV3" s="156">
        <f>AU3-AT3</f>
        <v>0.77500000000000568</v>
      </c>
      <c r="AW3" s="156">
        <v>7</v>
      </c>
    </row>
    <row r="4" spans="1:50" ht="31.5" x14ac:dyDescent="0.2">
      <c r="A4" s="23" t="s">
        <v>34</v>
      </c>
      <c r="B4" s="24" t="s">
        <v>35</v>
      </c>
      <c r="C4" s="90">
        <f>5.707-1.075</f>
        <v>4.6319999999999997</v>
      </c>
      <c r="D4" s="422">
        <f t="shared" si="0"/>
        <v>4.6319999999999997</v>
      </c>
      <c r="E4" s="422">
        <f t="shared" ref="E4:E67" si="1">D4-C4</f>
        <v>0</v>
      </c>
      <c r="F4" s="25" t="s">
        <v>36</v>
      </c>
      <c r="G4" s="26" t="s">
        <v>37</v>
      </c>
      <c r="H4" s="188"/>
      <c r="I4" s="326"/>
      <c r="J4" s="250">
        <v>4.6319999999999997</v>
      </c>
      <c r="K4" s="29" t="s">
        <v>38</v>
      </c>
      <c r="L4" s="29"/>
      <c r="M4" s="30"/>
      <c r="N4" s="31"/>
      <c r="O4" s="31"/>
      <c r="P4" s="31"/>
      <c r="Q4" s="31"/>
      <c r="R4" s="30"/>
      <c r="S4" s="30"/>
      <c r="T4" s="30"/>
      <c r="U4" s="485"/>
      <c r="V4" s="28">
        <v>4.6319999999999997</v>
      </c>
      <c r="W4" s="29" t="s">
        <v>38</v>
      </c>
      <c r="X4" s="191"/>
      <c r="Y4" s="251"/>
      <c r="Z4" s="299"/>
      <c r="AA4" s="32"/>
      <c r="AB4" s="33"/>
      <c r="AC4" s="35"/>
      <c r="AD4" s="32"/>
      <c r="AE4" s="34"/>
      <c r="AF4" s="34"/>
      <c r="AG4" s="34"/>
      <c r="AH4" s="34"/>
      <c r="AI4" s="35"/>
      <c r="AJ4" s="35"/>
      <c r="AK4" s="35"/>
      <c r="AL4" s="35"/>
      <c r="AM4" s="98"/>
      <c r="AN4" s="298"/>
      <c r="AO4" s="237"/>
      <c r="AP4" s="166">
        <v>0</v>
      </c>
      <c r="AQ4" s="167">
        <v>9</v>
      </c>
      <c r="AR4" s="168">
        <v>2023</v>
      </c>
      <c r="AS4" s="169" t="s">
        <v>39</v>
      </c>
      <c r="AT4" s="156"/>
    </row>
    <row r="5" spans="1:50" ht="31.5" x14ac:dyDescent="0.2">
      <c r="A5" s="23" t="s">
        <v>40</v>
      </c>
      <c r="B5" s="498" t="s">
        <v>41</v>
      </c>
      <c r="C5" s="499">
        <f>236.299-126.192</f>
        <v>110.10700000000001</v>
      </c>
      <c r="D5" s="497">
        <f t="shared" si="0"/>
        <v>108.967</v>
      </c>
      <c r="E5" s="497">
        <f t="shared" si="1"/>
        <v>-1.1400000000000148</v>
      </c>
      <c r="F5" s="25" t="s">
        <v>42</v>
      </c>
      <c r="G5" s="38" t="s">
        <v>43</v>
      </c>
      <c r="H5" s="188"/>
      <c r="I5" s="327" t="s">
        <v>41</v>
      </c>
      <c r="J5" s="250">
        <v>108.967</v>
      </c>
      <c r="K5" s="40" t="s">
        <v>44</v>
      </c>
      <c r="L5" s="40"/>
      <c r="M5" s="41"/>
      <c r="N5" s="42"/>
      <c r="O5" s="42"/>
      <c r="P5" s="42"/>
      <c r="Q5" s="42"/>
      <c r="R5" s="41"/>
      <c r="S5" s="41"/>
      <c r="T5" s="41"/>
      <c r="U5" s="483"/>
      <c r="V5" s="28">
        <v>108.967</v>
      </c>
      <c r="W5" s="40" t="s">
        <v>44</v>
      </c>
      <c r="X5" s="191"/>
      <c r="Y5" s="251"/>
      <c r="Z5" s="299"/>
      <c r="AA5" s="32"/>
      <c r="AB5" s="33"/>
      <c r="AC5" s="35"/>
      <c r="AD5" s="32"/>
      <c r="AE5" s="34"/>
      <c r="AF5" s="34"/>
      <c r="AG5" s="34"/>
      <c r="AH5" s="34"/>
      <c r="AI5" s="35"/>
      <c r="AJ5" s="35"/>
      <c r="AK5" s="35"/>
      <c r="AL5" s="35"/>
      <c r="AM5" s="98"/>
      <c r="AN5" s="298"/>
      <c r="AO5" s="237"/>
      <c r="AP5" s="166">
        <v>0</v>
      </c>
      <c r="AQ5" s="167">
        <v>637</v>
      </c>
      <c r="AR5" s="168" t="s">
        <v>1</v>
      </c>
      <c r="AS5" s="169" t="s">
        <v>1</v>
      </c>
      <c r="AT5" s="156"/>
    </row>
    <row r="6" spans="1:50" ht="31.5" x14ac:dyDescent="0.2">
      <c r="A6" s="23" t="s">
        <v>45</v>
      </c>
      <c r="B6" s="24" t="s">
        <v>46</v>
      </c>
      <c r="C6" s="90">
        <f>20.955-0.509</f>
        <v>20.445999999999998</v>
      </c>
      <c r="D6" s="422">
        <f t="shared" si="0"/>
        <v>20.445999999999998</v>
      </c>
      <c r="E6" s="422">
        <f t="shared" si="1"/>
        <v>0</v>
      </c>
      <c r="F6" s="25" t="s">
        <v>47</v>
      </c>
      <c r="G6" s="26" t="s">
        <v>48</v>
      </c>
      <c r="H6" s="188"/>
      <c r="I6" s="326" t="s">
        <v>49</v>
      </c>
      <c r="J6" s="252">
        <v>20.445999999999998</v>
      </c>
      <c r="K6" s="29" t="s">
        <v>50</v>
      </c>
      <c r="L6" s="29">
        <v>0</v>
      </c>
      <c r="M6" s="31"/>
      <c r="N6" s="31"/>
      <c r="O6" s="31"/>
      <c r="P6" s="31"/>
      <c r="Q6" s="31"/>
      <c r="R6" s="31">
        <f>20.955-0.509</f>
        <v>20.445999999999998</v>
      </c>
      <c r="S6" s="31" t="s">
        <v>46</v>
      </c>
      <c r="T6" s="31"/>
      <c r="U6" s="489"/>
      <c r="V6" s="191"/>
      <c r="W6" s="108"/>
      <c r="X6" s="191"/>
      <c r="Y6" s="251"/>
      <c r="Z6" s="299"/>
      <c r="AA6" s="32"/>
      <c r="AB6" s="33"/>
      <c r="AC6" s="45"/>
      <c r="AD6" s="43"/>
      <c r="AE6" s="44"/>
      <c r="AF6" s="44"/>
      <c r="AG6" s="44"/>
      <c r="AH6" s="44"/>
      <c r="AI6" s="45"/>
      <c r="AJ6" s="45"/>
      <c r="AK6" s="45"/>
      <c r="AL6" s="45"/>
      <c r="AM6" s="98"/>
      <c r="AN6" s="298"/>
      <c r="AO6" s="237"/>
      <c r="AP6" s="166">
        <v>0</v>
      </c>
      <c r="AQ6" s="167">
        <v>0</v>
      </c>
      <c r="AR6" s="168">
        <v>2021</v>
      </c>
      <c r="AS6" s="169" t="s">
        <v>51</v>
      </c>
      <c r="AT6" s="156"/>
    </row>
    <row r="7" spans="1:50" ht="31.5" x14ac:dyDescent="0.2">
      <c r="A7" s="23" t="s">
        <v>52</v>
      </c>
      <c r="B7" s="24" t="s">
        <v>53</v>
      </c>
      <c r="C7" s="90">
        <f>27.452-0.574</f>
        <v>26.878</v>
      </c>
      <c r="D7" s="422">
        <f t="shared" si="0"/>
        <v>26.878</v>
      </c>
      <c r="E7" s="422">
        <f t="shared" si="1"/>
        <v>0</v>
      </c>
      <c r="F7" s="25" t="s">
        <v>47</v>
      </c>
      <c r="G7" s="26" t="s">
        <v>54</v>
      </c>
      <c r="H7" s="188"/>
      <c r="I7" s="326"/>
      <c r="J7" s="250">
        <v>26.878</v>
      </c>
      <c r="K7" s="28" t="s">
        <v>55</v>
      </c>
      <c r="L7" s="48"/>
      <c r="M7" s="31"/>
      <c r="N7" s="31"/>
      <c r="O7" s="31"/>
      <c r="P7" s="31"/>
      <c r="Q7" s="31"/>
      <c r="R7" s="31"/>
      <c r="S7" s="31"/>
      <c r="T7" s="31"/>
      <c r="U7" s="31"/>
      <c r="V7" s="191"/>
      <c r="W7" s="108"/>
      <c r="X7" s="191"/>
      <c r="Y7" s="251"/>
      <c r="Z7" s="299"/>
      <c r="AA7" s="32"/>
      <c r="AB7" s="33"/>
      <c r="AC7" s="35"/>
      <c r="AD7" s="32"/>
      <c r="AE7" s="34"/>
      <c r="AF7" s="34"/>
      <c r="AG7" s="34"/>
      <c r="AH7" s="34"/>
      <c r="AI7" s="35"/>
      <c r="AJ7" s="35"/>
      <c r="AK7" s="35"/>
      <c r="AL7" s="35"/>
      <c r="AM7" s="98"/>
      <c r="AN7" s="298"/>
      <c r="AO7" s="237"/>
      <c r="AP7" s="166">
        <v>0</v>
      </c>
      <c r="AQ7" s="167">
        <v>183</v>
      </c>
      <c r="AR7" s="168" t="s">
        <v>1</v>
      </c>
      <c r="AS7" s="169" t="s">
        <v>1</v>
      </c>
      <c r="AT7" s="156"/>
    </row>
    <row r="8" spans="1:50" ht="31.5" x14ac:dyDescent="0.2">
      <c r="A8" s="23" t="s">
        <v>56</v>
      </c>
      <c r="B8" s="24" t="s">
        <v>57</v>
      </c>
      <c r="C8" s="90">
        <f>46.199-5.2112</f>
        <v>40.9878</v>
      </c>
      <c r="D8" s="422">
        <f t="shared" si="0"/>
        <v>40.986999999999995</v>
      </c>
      <c r="E8" s="422">
        <f t="shared" si="1"/>
        <v>-8.0000000000524096E-4</v>
      </c>
      <c r="F8" s="25" t="s">
        <v>47</v>
      </c>
      <c r="G8" s="26" t="s">
        <v>58</v>
      </c>
      <c r="H8" s="188"/>
      <c r="I8" s="326"/>
      <c r="J8" s="252">
        <v>40.986999999999995</v>
      </c>
      <c r="K8" s="29" t="s">
        <v>59</v>
      </c>
      <c r="L8" s="29">
        <v>14.4</v>
      </c>
      <c r="M8" s="31" t="s">
        <v>1721</v>
      </c>
      <c r="N8" s="31">
        <v>25</v>
      </c>
      <c r="O8" s="31">
        <v>0</v>
      </c>
      <c r="P8" s="31">
        <v>10</v>
      </c>
      <c r="Q8" s="31">
        <v>3</v>
      </c>
      <c r="R8" s="30">
        <v>1.887</v>
      </c>
      <c r="S8" s="31" t="s">
        <v>1722</v>
      </c>
      <c r="T8" s="31"/>
      <c r="U8" s="31"/>
      <c r="V8" s="191"/>
      <c r="W8" s="108"/>
      <c r="X8" s="191"/>
      <c r="Y8" s="251"/>
      <c r="Z8" s="299"/>
      <c r="AA8" s="32"/>
      <c r="AB8" s="33"/>
      <c r="AC8" s="45"/>
      <c r="AD8" s="43"/>
      <c r="AE8" s="44"/>
      <c r="AF8" s="44"/>
      <c r="AG8" s="44"/>
      <c r="AH8" s="44"/>
      <c r="AI8" s="45"/>
      <c r="AJ8" s="45"/>
      <c r="AK8" s="45"/>
      <c r="AL8" s="45"/>
      <c r="AM8" s="98"/>
      <c r="AN8" s="298"/>
      <c r="AO8" s="237"/>
      <c r="AP8" s="166">
        <v>0</v>
      </c>
      <c r="AQ8" s="167">
        <v>0</v>
      </c>
      <c r="AR8" s="168" t="s">
        <v>60</v>
      </c>
      <c r="AS8" s="169" t="s">
        <v>61</v>
      </c>
      <c r="AT8" s="156"/>
    </row>
    <row r="9" spans="1:50" ht="21" x14ac:dyDescent="0.2">
      <c r="A9" s="23" t="s">
        <v>62</v>
      </c>
      <c r="B9" s="24" t="s">
        <v>63</v>
      </c>
      <c r="C9" s="90">
        <f>10.325-0.04</f>
        <v>10.285</v>
      </c>
      <c r="D9" s="422">
        <f t="shared" si="0"/>
        <v>10.285</v>
      </c>
      <c r="E9" s="422">
        <f t="shared" si="1"/>
        <v>0</v>
      </c>
      <c r="F9" s="25" t="s">
        <v>47</v>
      </c>
      <c r="G9" s="26" t="s">
        <v>64</v>
      </c>
      <c r="H9" s="188"/>
      <c r="I9" s="326"/>
      <c r="J9" s="250">
        <v>10.285</v>
      </c>
      <c r="K9" s="28" t="s">
        <v>65</v>
      </c>
      <c r="L9" s="28"/>
      <c r="M9" s="46"/>
      <c r="N9" s="47"/>
      <c r="O9" s="47"/>
      <c r="P9" s="47"/>
      <c r="Q9" s="47"/>
      <c r="R9" s="46"/>
      <c r="S9" s="46"/>
      <c r="T9" s="46"/>
      <c r="U9" s="46"/>
      <c r="V9" s="191"/>
      <c r="W9" s="108"/>
      <c r="X9" s="191"/>
      <c r="Y9" s="251"/>
      <c r="Z9" s="299"/>
      <c r="AA9" s="32"/>
      <c r="AB9" s="33"/>
      <c r="AC9" s="35"/>
      <c r="AD9" s="32"/>
      <c r="AE9" s="34"/>
      <c r="AF9" s="34"/>
      <c r="AG9" s="34"/>
      <c r="AH9" s="34"/>
      <c r="AI9" s="35"/>
      <c r="AJ9" s="35"/>
      <c r="AK9" s="35"/>
      <c r="AL9" s="35"/>
      <c r="AM9" s="98"/>
      <c r="AN9" s="298"/>
      <c r="AO9" s="237"/>
      <c r="AP9" s="166">
        <v>0</v>
      </c>
      <c r="AQ9" s="167">
        <v>98</v>
      </c>
      <c r="AR9" s="168" t="s">
        <v>1</v>
      </c>
      <c r="AS9" s="169" t="s">
        <v>1</v>
      </c>
      <c r="AT9" s="156"/>
    </row>
    <row r="10" spans="1:50" ht="31.5" x14ac:dyDescent="0.2">
      <c r="A10" s="23" t="s">
        <v>66</v>
      </c>
      <c r="B10" s="24" t="s">
        <v>67</v>
      </c>
      <c r="C10" s="90">
        <f>12.218-0.198</f>
        <v>12.02</v>
      </c>
      <c r="D10" s="422">
        <f t="shared" si="0"/>
        <v>12.02</v>
      </c>
      <c r="E10" s="422">
        <f t="shared" si="1"/>
        <v>0</v>
      </c>
      <c r="F10" s="25" t="s">
        <v>68</v>
      </c>
      <c r="G10" s="26" t="s">
        <v>69</v>
      </c>
      <c r="H10" s="188"/>
      <c r="I10" s="326"/>
      <c r="J10" s="250">
        <v>12.02</v>
      </c>
      <c r="K10" s="29" t="s">
        <v>70</v>
      </c>
      <c r="L10" s="29">
        <v>9.4410000000000007</v>
      </c>
      <c r="M10" s="30" t="s">
        <v>71</v>
      </c>
      <c r="N10" s="31">
        <v>11</v>
      </c>
      <c r="O10" s="31">
        <v>3</v>
      </c>
      <c r="P10" s="31">
        <v>4</v>
      </c>
      <c r="Q10" s="31">
        <v>0</v>
      </c>
      <c r="R10" s="30"/>
      <c r="S10" s="30"/>
      <c r="T10" s="30"/>
      <c r="U10" s="30"/>
      <c r="V10" s="191"/>
      <c r="W10" s="108"/>
      <c r="X10" s="191"/>
      <c r="Y10" s="251"/>
      <c r="Z10" s="299"/>
      <c r="AA10" s="32"/>
      <c r="AB10" s="33"/>
      <c r="AC10" s="35"/>
      <c r="AD10" s="32"/>
      <c r="AE10" s="34"/>
      <c r="AF10" s="34"/>
      <c r="AG10" s="34"/>
      <c r="AH10" s="34"/>
      <c r="AI10" s="35"/>
      <c r="AJ10" s="35"/>
      <c r="AK10" s="35"/>
      <c r="AL10" s="35"/>
      <c r="AM10" s="98"/>
      <c r="AN10" s="298"/>
      <c r="AO10" s="237"/>
      <c r="AP10" s="166">
        <v>8</v>
      </c>
      <c r="AQ10" s="167">
        <v>67</v>
      </c>
      <c r="AR10" s="168" t="s">
        <v>1</v>
      </c>
      <c r="AS10" s="169" t="s">
        <v>1</v>
      </c>
    </row>
    <row r="11" spans="1:50" ht="42" x14ac:dyDescent="0.2">
      <c r="A11" s="23" t="s">
        <v>72</v>
      </c>
      <c r="B11" s="24" t="s">
        <v>73</v>
      </c>
      <c r="C11" s="90">
        <f>8.707-0.315</f>
        <v>8.3920000000000012</v>
      </c>
      <c r="D11" s="422">
        <f t="shared" si="0"/>
        <v>8.3920000000000012</v>
      </c>
      <c r="E11" s="422">
        <f t="shared" si="1"/>
        <v>0</v>
      </c>
      <c r="F11" s="25" t="s">
        <v>68</v>
      </c>
      <c r="G11" s="26" t="s">
        <v>74</v>
      </c>
      <c r="H11" s="188"/>
      <c r="I11" s="326"/>
      <c r="J11" s="250">
        <v>8.3920000000000012</v>
      </c>
      <c r="K11" s="29" t="s">
        <v>75</v>
      </c>
      <c r="L11" s="29">
        <v>5.4</v>
      </c>
      <c r="M11" s="30" t="s">
        <v>76</v>
      </c>
      <c r="N11" s="31">
        <v>4</v>
      </c>
      <c r="O11" s="31">
        <v>0</v>
      </c>
      <c r="P11" s="31">
        <v>4</v>
      </c>
      <c r="Q11" s="31">
        <v>0</v>
      </c>
      <c r="R11" s="30"/>
      <c r="S11" s="30"/>
      <c r="T11" s="30"/>
      <c r="U11" s="30"/>
      <c r="V11" s="191"/>
      <c r="W11" s="108"/>
      <c r="X11" s="191"/>
      <c r="Y11" s="251"/>
      <c r="Z11" s="299"/>
      <c r="AA11" s="32"/>
      <c r="AB11" s="33"/>
      <c r="AC11" s="35"/>
      <c r="AD11" s="32"/>
      <c r="AE11" s="34"/>
      <c r="AF11" s="34"/>
      <c r="AG11" s="34"/>
      <c r="AH11" s="34"/>
      <c r="AI11" s="35"/>
      <c r="AJ11" s="35"/>
      <c r="AK11" s="35"/>
      <c r="AL11" s="35"/>
      <c r="AM11" s="98"/>
      <c r="AN11" s="298"/>
      <c r="AO11" s="237"/>
      <c r="AP11" s="166">
        <v>4</v>
      </c>
      <c r="AQ11" s="167">
        <v>40</v>
      </c>
      <c r="AR11" s="168" t="s">
        <v>1</v>
      </c>
      <c r="AS11" s="169" t="s">
        <v>1</v>
      </c>
    </row>
    <row r="12" spans="1:50" ht="31.5" x14ac:dyDescent="0.2">
      <c r="A12" s="23" t="s">
        <v>77</v>
      </c>
      <c r="B12" s="24" t="s">
        <v>78</v>
      </c>
      <c r="C12" s="90">
        <f>3.724-0.402</f>
        <v>3.3220000000000001</v>
      </c>
      <c r="D12" s="422">
        <f t="shared" si="0"/>
        <v>3.3220000000000001</v>
      </c>
      <c r="E12" s="422">
        <f t="shared" si="1"/>
        <v>0</v>
      </c>
      <c r="F12" s="25" t="s">
        <v>47</v>
      </c>
      <c r="G12" s="26" t="s">
        <v>79</v>
      </c>
      <c r="H12" s="188"/>
      <c r="I12" s="326"/>
      <c r="J12" s="250">
        <v>3.3220000000000001</v>
      </c>
      <c r="K12" s="28" t="s">
        <v>80</v>
      </c>
      <c r="L12" s="28"/>
      <c r="M12" s="46"/>
      <c r="N12" s="47"/>
      <c r="O12" s="47"/>
      <c r="P12" s="47"/>
      <c r="Q12" s="47"/>
      <c r="R12" s="46"/>
      <c r="S12" s="46"/>
      <c r="T12" s="46"/>
      <c r="U12" s="46"/>
      <c r="V12" s="191"/>
      <c r="W12" s="108"/>
      <c r="X12" s="191"/>
      <c r="Y12" s="251"/>
      <c r="Z12" s="299"/>
      <c r="AA12" s="32"/>
      <c r="AB12" s="33"/>
      <c r="AC12" s="35"/>
      <c r="AD12" s="32"/>
      <c r="AE12" s="34"/>
      <c r="AF12" s="34"/>
      <c r="AG12" s="34"/>
      <c r="AH12" s="34"/>
      <c r="AI12" s="35"/>
      <c r="AJ12" s="35"/>
      <c r="AK12" s="35"/>
      <c r="AL12" s="35"/>
      <c r="AM12" s="98"/>
      <c r="AN12" s="298"/>
      <c r="AO12" s="237"/>
      <c r="AP12" s="166">
        <v>0</v>
      </c>
      <c r="AQ12" s="167">
        <v>25</v>
      </c>
      <c r="AR12" s="168" t="s">
        <v>1</v>
      </c>
      <c r="AS12" s="169" t="s">
        <v>1</v>
      </c>
      <c r="AT12" s="156"/>
    </row>
    <row r="13" spans="1:50" ht="31.5" x14ac:dyDescent="0.2">
      <c r="A13" s="23" t="s">
        <v>81</v>
      </c>
      <c r="B13" s="24" t="s">
        <v>82</v>
      </c>
      <c r="C13" s="90">
        <f>6.263-0.418</f>
        <v>5.8449999999999998</v>
      </c>
      <c r="D13" s="422">
        <f t="shared" si="0"/>
        <v>5.8449999999999998</v>
      </c>
      <c r="E13" s="422">
        <f t="shared" si="1"/>
        <v>0</v>
      </c>
      <c r="F13" s="25" t="s">
        <v>47</v>
      </c>
      <c r="G13" s="26" t="s">
        <v>83</v>
      </c>
      <c r="H13" s="188"/>
      <c r="I13" s="326"/>
      <c r="J13" s="250">
        <v>5.8449999999999998</v>
      </c>
      <c r="K13" s="28" t="s">
        <v>84</v>
      </c>
      <c r="L13" s="28"/>
      <c r="M13" s="28"/>
      <c r="N13" s="48"/>
      <c r="O13" s="48"/>
      <c r="P13" s="48"/>
      <c r="Q13" s="48"/>
      <c r="R13" s="28"/>
      <c r="S13" s="28"/>
      <c r="T13" s="28"/>
      <c r="U13" s="28"/>
      <c r="V13" s="191"/>
      <c r="W13" s="108"/>
      <c r="X13" s="191"/>
      <c r="Y13" s="251"/>
      <c r="Z13" s="260"/>
      <c r="AA13" s="49"/>
      <c r="AB13" s="49"/>
      <c r="AC13" s="51"/>
      <c r="AD13" s="49"/>
      <c r="AE13" s="50"/>
      <c r="AF13" s="50"/>
      <c r="AG13" s="50"/>
      <c r="AH13" s="50"/>
      <c r="AI13" s="51"/>
      <c r="AJ13" s="51"/>
      <c r="AK13" s="51"/>
      <c r="AL13" s="51"/>
      <c r="AM13" s="98"/>
      <c r="AN13" s="298"/>
      <c r="AO13" s="237"/>
      <c r="AP13" s="166">
        <v>0</v>
      </c>
      <c r="AQ13" s="167">
        <v>57</v>
      </c>
      <c r="AR13" s="168">
        <v>2021</v>
      </c>
      <c r="AS13" s="169" t="s">
        <v>85</v>
      </c>
      <c r="AT13" s="156"/>
    </row>
    <row r="14" spans="1:50" ht="31.5" x14ac:dyDescent="0.2">
      <c r="A14" s="23" t="s">
        <v>86</v>
      </c>
      <c r="B14" s="24" t="s">
        <v>87</v>
      </c>
      <c r="C14" s="90">
        <f>3.946-0.431</f>
        <v>3.5150000000000001</v>
      </c>
      <c r="D14" s="422">
        <f t="shared" si="0"/>
        <v>3.5150000000000001</v>
      </c>
      <c r="E14" s="422">
        <f t="shared" si="1"/>
        <v>0</v>
      </c>
      <c r="F14" s="25" t="s">
        <v>68</v>
      </c>
      <c r="G14" s="26" t="s">
        <v>88</v>
      </c>
      <c r="H14" s="188"/>
      <c r="I14" s="328" t="s">
        <v>87</v>
      </c>
      <c r="J14" s="250">
        <v>3.5150000000000001</v>
      </c>
      <c r="K14" s="29" t="s">
        <v>89</v>
      </c>
      <c r="L14" s="29">
        <v>1.9</v>
      </c>
      <c r="M14" s="30" t="s">
        <v>90</v>
      </c>
      <c r="N14" s="31">
        <v>7</v>
      </c>
      <c r="O14" s="31">
        <v>1</v>
      </c>
      <c r="P14" s="31">
        <v>0</v>
      </c>
      <c r="Q14" s="31">
        <v>0</v>
      </c>
      <c r="R14" s="30"/>
      <c r="S14" s="30"/>
      <c r="T14" s="30"/>
      <c r="U14" s="30"/>
      <c r="V14" s="191"/>
      <c r="W14" s="108"/>
      <c r="X14" s="191"/>
      <c r="Y14" s="251"/>
      <c r="Z14" s="299"/>
      <c r="AA14" s="32"/>
      <c r="AB14" s="33"/>
      <c r="AC14" s="35"/>
      <c r="AD14" s="32"/>
      <c r="AE14" s="34"/>
      <c r="AF14" s="34"/>
      <c r="AG14" s="34"/>
      <c r="AH14" s="34"/>
      <c r="AI14" s="35"/>
      <c r="AJ14" s="35"/>
      <c r="AK14" s="35"/>
      <c r="AL14" s="35"/>
      <c r="AM14" s="98"/>
      <c r="AN14" s="298"/>
      <c r="AO14" s="237"/>
      <c r="AP14" s="166">
        <v>6</v>
      </c>
      <c r="AQ14" s="167">
        <v>21</v>
      </c>
      <c r="AR14" s="168" t="s">
        <v>1</v>
      </c>
      <c r="AS14" s="169" t="s">
        <v>1</v>
      </c>
    </row>
    <row r="15" spans="1:50" ht="42" x14ac:dyDescent="0.2">
      <c r="A15" s="23" t="s">
        <v>91</v>
      </c>
      <c r="B15" s="24" t="s">
        <v>92</v>
      </c>
      <c r="C15" s="90">
        <f>110.199-3.946</f>
        <v>106.253</v>
      </c>
      <c r="D15" s="422">
        <f t="shared" si="0"/>
        <v>106.253</v>
      </c>
      <c r="E15" s="422">
        <f t="shared" si="1"/>
        <v>0</v>
      </c>
      <c r="F15" s="25" t="s">
        <v>93</v>
      </c>
      <c r="G15" s="38" t="s">
        <v>94</v>
      </c>
      <c r="H15" s="188"/>
      <c r="I15" s="326" t="s">
        <v>92</v>
      </c>
      <c r="J15" s="250">
        <v>106.253</v>
      </c>
      <c r="K15" s="40" t="s">
        <v>92</v>
      </c>
      <c r="L15" s="40"/>
      <c r="M15" s="41"/>
      <c r="N15" s="42"/>
      <c r="O15" s="42"/>
      <c r="P15" s="42"/>
      <c r="Q15" s="42"/>
      <c r="R15" s="41"/>
      <c r="S15" s="41"/>
      <c r="T15" s="41"/>
      <c r="U15" s="41"/>
      <c r="V15" s="28">
        <v>100.58</v>
      </c>
      <c r="W15" s="40" t="s">
        <v>92</v>
      </c>
      <c r="X15" s="149"/>
      <c r="Y15" s="253" t="s">
        <v>92</v>
      </c>
      <c r="Z15" s="299"/>
      <c r="AA15" s="32"/>
      <c r="AB15" s="33"/>
      <c r="AC15" s="35"/>
      <c r="AD15" s="32"/>
      <c r="AE15" s="34"/>
      <c r="AF15" s="34"/>
      <c r="AG15" s="34"/>
      <c r="AH15" s="34"/>
      <c r="AI15" s="35"/>
      <c r="AJ15" s="35"/>
      <c r="AK15" s="35"/>
      <c r="AL15" s="35"/>
      <c r="AM15" s="203"/>
      <c r="AN15" s="300"/>
      <c r="AO15" s="237"/>
      <c r="AP15" s="166">
        <v>41</v>
      </c>
      <c r="AQ15" s="167">
        <v>718</v>
      </c>
      <c r="AR15" s="168" t="s">
        <v>32</v>
      </c>
      <c r="AS15" s="169" t="s">
        <v>33</v>
      </c>
      <c r="AT15" s="156"/>
    </row>
    <row r="16" spans="1:50" ht="31.5" x14ac:dyDescent="0.2">
      <c r="A16" s="23" t="s">
        <v>95</v>
      </c>
      <c r="B16" s="24" t="s">
        <v>96</v>
      </c>
      <c r="C16" s="90">
        <f>456.007-349.647</f>
        <v>106.36000000000001</v>
      </c>
      <c r="D16" s="422">
        <f t="shared" si="0"/>
        <v>106.36</v>
      </c>
      <c r="E16" s="422">
        <f t="shared" si="1"/>
        <v>0</v>
      </c>
      <c r="F16" s="25" t="s">
        <v>47</v>
      </c>
      <c r="G16" s="26" t="s">
        <v>97</v>
      </c>
      <c r="H16" s="188"/>
      <c r="I16" s="328" t="s">
        <v>96</v>
      </c>
      <c r="J16" s="250">
        <v>103.99299999999999</v>
      </c>
      <c r="K16" s="29" t="s">
        <v>98</v>
      </c>
      <c r="L16" s="29"/>
      <c r="M16" s="30"/>
      <c r="N16" s="31"/>
      <c r="O16" s="31"/>
      <c r="P16" s="31"/>
      <c r="Q16" s="31"/>
      <c r="R16" s="30"/>
      <c r="S16" s="30"/>
      <c r="T16" s="30"/>
      <c r="U16" s="30"/>
      <c r="V16" s="191"/>
      <c r="W16" s="192"/>
      <c r="X16" s="191"/>
      <c r="Y16" s="254"/>
      <c r="Z16" s="301">
        <v>2.367</v>
      </c>
      <c r="AA16" s="53" t="s">
        <v>99</v>
      </c>
      <c r="AB16" s="54"/>
      <c r="AC16" s="56"/>
      <c r="AD16" s="53"/>
      <c r="AE16" s="55"/>
      <c r="AF16" s="55"/>
      <c r="AG16" s="55"/>
      <c r="AH16" s="55"/>
      <c r="AI16" s="56">
        <f>Z16</f>
        <v>2.367</v>
      </c>
      <c r="AJ16" s="56"/>
      <c r="AK16" s="56"/>
      <c r="AL16" s="56"/>
      <c r="AM16" s="203"/>
      <c r="AN16" s="300"/>
      <c r="AO16" s="237" t="s">
        <v>100</v>
      </c>
      <c r="AP16" s="170">
        <v>0</v>
      </c>
      <c r="AQ16" s="167">
        <v>827</v>
      </c>
      <c r="AR16" s="168" t="s">
        <v>1</v>
      </c>
      <c r="AS16" s="169" t="s">
        <v>1</v>
      </c>
      <c r="AT16" s="156">
        <v>453.60599999999999</v>
      </c>
      <c r="AU16" s="156">
        <v>455.08</v>
      </c>
      <c r="AV16" s="156">
        <f>AU16-AT16</f>
        <v>1.4739999999999895</v>
      </c>
      <c r="AW16" s="156">
        <v>68</v>
      </c>
      <c r="AX16" s="156">
        <v>68</v>
      </c>
    </row>
    <row r="17" spans="1:46" ht="21" x14ac:dyDescent="0.2">
      <c r="A17" s="23" t="s">
        <v>101</v>
      </c>
      <c r="B17" s="24" t="s">
        <v>102</v>
      </c>
      <c r="C17" s="90">
        <f>150.539-140.587</f>
        <v>9.9519999999999982</v>
      </c>
      <c r="D17" s="422">
        <f t="shared" si="0"/>
        <v>9.9519999999999982</v>
      </c>
      <c r="E17" s="422">
        <f t="shared" si="1"/>
        <v>0</v>
      </c>
      <c r="F17" s="25" t="s">
        <v>47</v>
      </c>
      <c r="G17" s="26" t="s">
        <v>103</v>
      </c>
      <c r="H17" s="188"/>
      <c r="I17" s="328" t="s">
        <v>102</v>
      </c>
      <c r="J17" s="250">
        <v>9.9519999999999982</v>
      </c>
      <c r="K17" s="29" t="s">
        <v>104</v>
      </c>
      <c r="L17" s="30"/>
      <c r="M17" s="30"/>
      <c r="N17" s="31"/>
      <c r="O17" s="31"/>
      <c r="P17" s="31"/>
      <c r="Q17" s="31"/>
      <c r="R17" s="30"/>
      <c r="S17" s="30"/>
      <c r="T17" s="30"/>
      <c r="U17" s="30"/>
      <c r="V17" s="191"/>
      <c r="W17" s="192"/>
      <c r="X17" s="191"/>
      <c r="Y17" s="254"/>
      <c r="Z17" s="299"/>
      <c r="AA17" s="32"/>
      <c r="AB17" s="32"/>
      <c r="AC17" s="35"/>
      <c r="AD17" s="32"/>
      <c r="AE17" s="34"/>
      <c r="AF17" s="34"/>
      <c r="AG17" s="34"/>
      <c r="AH17" s="34"/>
      <c r="AI17" s="35"/>
      <c r="AJ17" s="35"/>
      <c r="AK17" s="35"/>
      <c r="AL17" s="35"/>
      <c r="AM17" s="203"/>
      <c r="AN17" s="300"/>
      <c r="AO17" s="237"/>
      <c r="AP17" s="167">
        <v>0</v>
      </c>
      <c r="AQ17" s="167">
        <v>49</v>
      </c>
      <c r="AR17" s="168" t="s">
        <v>1</v>
      </c>
      <c r="AS17" s="169" t="s">
        <v>1</v>
      </c>
      <c r="AT17" s="156"/>
    </row>
    <row r="18" spans="1:46" ht="52.5" x14ac:dyDescent="0.2">
      <c r="A18" s="23" t="s">
        <v>105</v>
      </c>
      <c r="B18" s="24" t="s">
        <v>106</v>
      </c>
      <c r="C18" s="90">
        <f>14.492-1.8</f>
        <v>12.692</v>
      </c>
      <c r="D18" s="422">
        <f t="shared" si="0"/>
        <v>12.692</v>
      </c>
      <c r="E18" s="422">
        <f t="shared" si="1"/>
        <v>0</v>
      </c>
      <c r="F18" s="25" t="s">
        <v>68</v>
      </c>
      <c r="G18" s="26" t="s">
        <v>107</v>
      </c>
      <c r="H18" s="188"/>
      <c r="I18" s="328" t="s">
        <v>106</v>
      </c>
      <c r="J18" s="250">
        <v>12.692</v>
      </c>
      <c r="K18" s="29" t="s">
        <v>108</v>
      </c>
      <c r="L18" s="30">
        <v>5.3</v>
      </c>
      <c r="M18" s="30" t="s">
        <v>109</v>
      </c>
      <c r="N18" s="31">
        <v>10</v>
      </c>
      <c r="O18" s="31">
        <v>4</v>
      </c>
      <c r="P18" s="31">
        <v>7</v>
      </c>
      <c r="Q18" s="31">
        <v>0</v>
      </c>
      <c r="R18" s="30"/>
      <c r="S18" s="30"/>
      <c r="T18" s="30"/>
      <c r="U18" s="30"/>
      <c r="V18" s="191"/>
      <c r="W18" s="192"/>
      <c r="X18" s="191"/>
      <c r="Y18" s="254"/>
      <c r="Z18" s="299"/>
      <c r="AA18" s="32"/>
      <c r="AB18" s="32"/>
      <c r="AC18" s="35"/>
      <c r="AD18" s="32"/>
      <c r="AE18" s="34"/>
      <c r="AF18" s="34"/>
      <c r="AG18" s="34"/>
      <c r="AH18" s="34"/>
      <c r="AI18" s="35"/>
      <c r="AJ18" s="35"/>
      <c r="AK18" s="35"/>
      <c r="AL18" s="35"/>
      <c r="AM18" s="203"/>
      <c r="AN18" s="300"/>
      <c r="AO18" s="237"/>
      <c r="AP18" s="167">
        <v>6</v>
      </c>
      <c r="AQ18" s="167">
        <v>84</v>
      </c>
      <c r="AR18" s="168" t="s">
        <v>1</v>
      </c>
      <c r="AS18" s="169" t="s">
        <v>1</v>
      </c>
    </row>
    <row r="19" spans="1:46" ht="31.5" x14ac:dyDescent="0.2">
      <c r="A19" s="23" t="s">
        <v>110</v>
      </c>
      <c r="B19" s="24" t="s">
        <v>111</v>
      </c>
      <c r="C19" s="90">
        <f>14.448-10.691</f>
        <v>3.7569999999999997</v>
      </c>
      <c r="D19" s="422">
        <f t="shared" si="0"/>
        <v>3.7569999999999997</v>
      </c>
      <c r="E19" s="422">
        <f t="shared" si="1"/>
        <v>0</v>
      </c>
      <c r="F19" s="25" t="s">
        <v>68</v>
      </c>
      <c r="G19" s="26" t="s">
        <v>112</v>
      </c>
      <c r="H19" s="188"/>
      <c r="I19" s="326"/>
      <c r="J19" s="250">
        <v>3.7569999999999997</v>
      </c>
      <c r="K19" s="29" t="s">
        <v>113</v>
      </c>
      <c r="L19" s="30"/>
      <c r="M19" s="30"/>
      <c r="N19" s="31"/>
      <c r="O19" s="31"/>
      <c r="P19" s="31"/>
      <c r="Q19" s="31"/>
      <c r="R19" s="30"/>
      <c r="S19" s="30"/>
      <c r="T19" s="30"/>
      <c r="U19" s="30"/>
      <c r="V19" s="191"/>
      <c r="W19" s="192"/>
      <c r="X19" s="191"/>
      <c r="Y19" s="254"/>
      <c r="Z19" s="299"/>
      <c r="AA19" s="32"/>
      <c r="AB19" s="32"/>
      <c r="AC19" s="35"/>
      <c r="AD19" s="32"/>
      <c r="AE19" s="34"/>
      <c r="AF19" s="34"/>
      <c r="AG19" s="34"/>
      <c r="AH19" s="34"/>
      <c r="AI19" s="35"/>
      <c r="AJ19" s="35"/>
      <c r="AK19" s="35"/>
      <c r="AL19" s="35"/>
      <c r="AM19" s="203"/>
      <c r="AN19" s="300"/>
      <c r="AO19" s="237"/>
      <c r="AP19" s="167">
        <v>0</v>
      </c>
      <c r="AQ19" s="167">
        <v>4</v>
      </c>
      <c r="AR19" s="168" t="s">
        <v>1</v>
      </c>
      <c r="AS19" s="169" t="s">
        <v>1</v>
      </c>
    </row>
    <row r="20" spans="1:46" ht="21" x14ac:dyDescent="0.2">
      <c r="A20" s="23" t="s">
        <v>114</v>
      </c>
      <c r="B20" s="24" t="s">
        <v>115</v>
      </c>
      <c r="C20" s="90">
        <f>73.615-51.325</f>
        <v>22.289999999999992</v>
      </c>
      <c r="D20" s="422">
        <f t="shared" si="0"/>
        <v>22.29</v>
      </c>
      <c r="E20" s="422">
        <f t="shared" si="1"/>
        <v>0</v>
      </c>
      <c r="F20" s="25" t="s">
        <v>47</v>
      </c>
      <c r="G20" s="26" t="s">
        <v>116</v>
      </c>
      <c r="H20" s="188"/>
      <c r="I20" s="326" t="s">
        <v>117</v>
      </c>
      <c r="J20" s="250">
        <v>20.215</v>
      </c>
      <c r="K20" s="57" t="s">
        <v>118</v>
      </c>
      <c r="L20" s="57"/>
      <c r="M20" s="57"/>
      <c r="N20" s="58"/>
      <c r="O20" s="58"/>
      <c r="P20" s="58"/>
      <c r="Q20" s="58"/>
      <c r="R20" s="57"/>
      <c r="S20" s="57"/>
      <c r="T20" s="57"/>
      <c r="U20" s="57"/>
      <c r="V20" s="191"/>
      <c r="W20" s="108"/>
      <c r="X20" s="191"/>
      <c r="Y20" s="251"/>
      <c r="Z20" s="302">
        <v>2.0750000000000002</v>
      </c>
      <c r="AA20" s="59" t="s">
        <v>119</v>
      </c>
      <c r="AB20" s="54"/>
      <c r="AC20" s="61"/>
      <c r="AD20" s="59"/>
      <c r="AE20" s="60"/>
      <c r="AF20" s="60"/>
      <c r="AG20" s="60"/>
      <c r="AH20" s="60"/>
      <c r="AI20" s="61">
        <v>2.0750000000000002</v>
      </c>
      <c r="AJ20" s="61"/>
      <c r="AK20" s="61"/>
      <c r="AL20" s="61"/>
      <c r="AM20" s="98"/>
      <c r="AN20" s="298"/>
      <c r="AO20" s="237"/>
      <c r="AP20" s="167">
        <v>0</v>
      </c>
      <c r="AQ20" s="167">
        <v>207</v>
      </c>
      <c r="AR20" s="168">
        <v>2021</v>
      </c>
      <c r="AS20" s="169" t="s">
        <v>33</v>
      </c>
      <c r="AT20" s="156"/>
    </row>
    <row r="21" spans="1:46" ht="21" x14ac:dyDescent="0.2">
      <c r="A21" s="23" t="s">
        <v>120</v>
      </c>
      <c r="B21" s="24" t="s">
        <v>121</v>
      </c>
      <c r="C21" s="90">
        <f>29.585-7.213</f>
        <v>22.372</v>
      </c>
      <c r="D21" s="422">
        <f t="shared" si="0"/>
        <v>22.372</v>
      </c>
      <c r="E21" s="422">
        <f t="shared" si="1"/>
        <v>0</v>
      </c>
      <c r="F21" s="25" t="s">
        <v>47</v>
      </c>
      <c r="G21" s="26" t="s">
        <v>122</v>
      </c>
      <c r="H21" s="188"/>
      <c r="I21" s="326" t="s">
        <v>123</v>
      </c>
      <c r="J21" s="250">
        <v>22.372</v>
      </c>
      <c r="K21" s="29" t="s">
        <v>124</v>
      </c>
      <c r="L21" s="30"/>
      <c r="M21" s="30"/>
      <c r="N21" s="31"/>
      <c r="O21" s="31"/>
      <c r="P21" s="31"/>
      <c r="Q21" s="31"/>
      <c r="R21" s="30"/>
      <c r="S21" s="30"/>
      <c r="T21" s="30"/>
      <c r="U21" s="30"/>
      <c r="V21" s="191"/>
      <c r="W21" s="108"/>
      <c r="X21" s="191"/>
      <c r="Y21" s="251"/>
      <c r="Z21" s="299"/>
      <c r="AA21" s="32"/>
      <c r="AB21" s="32"/>
      <c r="AC21" s="35"/>
      <c r="AD21" s="32"/>
      <c r="AE21" s="34"/>
      <c r="AF21" s="34"/>
      <c r="AG21" s="34"/>
      <c r="AH21" s="34"/>
      <c r="AI21" s="35"/>
      <c r="AJ21" s="35"/>
      <c r="AK21" s="35"/>
      <c r="AL21" s="35"/>
      <c r="AM21" s="98"/>
      <c r="AN21" s="298"/>
      <c r="AO21" s="237"/>
      <c r="AP21" s="167">
        <v>0</v>
      </c>
      <c r="AQ21" s="167">
        <v>152</v>
      </c>
      <c r="AR21" s="168" t="s">
        <v>1</v>
      </c>
      <c r="AS21" s="169" t="s">
        <v>1</v>
      </c>
      <c r="AT21" s="156"/>
    </row>
    <row r="22" spans="1:46" ht="31.5" x14ac:dyDescent="0.2">
      <c r="A22" s="23" t="s">
        <v>125</v>
      </c>
      <c r="B22" s="24" t="s">
        <v>126</v>
      </c>
      <c r="C22" s="90">
        <f>15.898-0.068</f>
        <v>15.83</v>
      </c>
      <c r="D22" s="422">
        <f t="shared" si="0"/>
        <v>15.83</v>
      </c>
      <c r="E22" s="422">
        <f t="shared" si="1"/>
        <v>0</v>
      </c>
      <c r="F22" s="25" t="s">
        <v>47</v>
      </c>
      <c r="G22" s="26" t="s">
        <v>127</v>
      </c>
      <c r="H22" s="188"/>
      <c r="I22" s="326"/>
      <c r="J22" s="250">
        <v>15.83</v>
      </c>
      <c r="K22" s="28" t="s">
        <v>128</v>
      </c>
      <c r="L22" s="46"/>
      <c r="M22" s="46"/>
      <c r="N22" s="47"/>
      <c r="O22" s="47"/>
      <c r="P22" s="47"/>
      <c r="Q22" s="47"/>
      <c r="R22" s="46"/>
      <c r="S22" s="46"/>
      <c r="T22" s="46"/>
      <c r="U22" s="46"/>
      <c r="V22" s="191"/>
      <c r="W22" s="108"/>
      <c r="X22" s="191"/>
      <c r="Y22" s="251"/>
      <c r="Z22" s="299"/>
      <c r="AA22" s="32"/>
      <c r="AB22" s="32"/>
      <c r="AC22" s="35"/>
      <c r="AD22" s="32"/>
      <c r="AE22" s="34"/>
      <c r="AF22" s="34"/>
      <c r="AG22" s="34"/>
      <c r="AH22" s="34"/>
      <c r="AI22" s="35"/>
      <c r="AJ22" s="35"/>
      <c r="AK22" s="35"/>
      <c r="AL22" s="35"/>
      <c r="AM22" s="98"/>
      <c r="AN22" s="298"/>
      <c r="AO22" s="237"/>
      <c r="AP22" s="167">
        <v>0</v>
      </c>
      <c r="AQ22" s="167">
        <v>150</v>
      </c>
      <c r="AR22" s="168" t="s">
        <v>1</v>
      </c>
      <c r="AS22" s="169" t="s">
        <v>1</v>
      </c>
      <c r="AT22" s="156"/>
    </row>
    <row r="23" spans="1:46" ht="42" x14ac:dyDescent="0.2">
      <c r="A23" s="23" t="s">
        <v>129</v>
      </c>
      <c r="B23" s="24" t="s">
        <v>130</v>
      </c>
      <c r="C23" s="90">
        <f>53.552-0.389</f>
        <v>53.162999999999997</v>
      </c>
      <c r="D23" s="422">
        <f t="shared" si="0"/>
        <v>53.162999999999997</v>
      </c>
      <c r="E23" s="422">
        <f t="shared" si="1"/>
        <v>0</v>
      </c>
      <c r="F23" s="25" t="s">
        <v>47</v>
      </c>
      <c r="G23" s="26" t="s">
        <v>131</v>
      </c>
      <c r="H23" s="188"/>
      <c r="I23" s="326"/>
      <c r="J23" s="252">
        <v>53.162999999999997</v>
      </c>
      <c r="K23" s="28" t="s">
        <v>132</v>
      </c>
      <c r="L23" s="30">
        <v>9.4</v>
      </c>
      <c r="M23" s="30" t="s">
        <v>133</v>
      </c>
      <c r="N23" s="30">
        <v>20</v>
      </c>
      <c r="O23" s="30">
        <v>0</v>
      </c>
      <c r="P23" s="30">
        <v>16</v>
      </c>
      <c r="Q23" s="30">
        <v>1</v>
      </c>
      <c r="R23" s="30">
        <f>17.2-0.389+53.552-51.6</f>
        <v>18.762999999999998</v>
      </c>
      <c r="S23" s="30" t="s">
        <v>134</v>
      </c>
      <c r="T23" s="30"/>
      <c r="U23" s="30"/>
      <c r="V23" s="193"/>
      <c r="W23" s="194"/>
      <c r="X23" s="193"/>
      <c r="Y23" s="255"/>
      <c r="Z23" s="299"/>
      <c r="AA23" s="32"/>
      <c r="AB23" s="32"/>
      <c r="AC23" s="35"/>
      <c r="AD23" s="32"/>
      <c r="AE23" s="34"/>
      <c r="AF23" s="34"/>
      <c r="AG23" s="34"/>
      <c r="AH23" s="34"/>
      <c r="AI23" s="35"/>
      <c r="AJ23" s="35"/>
      <c r="AK23" s="214"/>
      <c r="AL23" s="214"/>
      <c r="AM23" s="200"/>
      <c r="AN23" s="303"/>
      <c r="AO23" s="237"/>
      <c r="AP23" s="167">
        <v>0</v>
      </c>
      <c r="AQ23" s="167">
        <v>0</v>
      </c>
      <c r="AR23" s="168" t="s">
        <v>60</v>
      </c>
      <c r="AS23" s="169" t="s">
        <v>135</v>
      </c>
      <c r="AT23" s="156"/>
    </row>
    <row r="24" spans="1:46" ht="42" x14ac:dyDescent="0.2">
      <c r="A24" s="23" t="s">
        <v>136</v>
      </c>
      <c r="B24" s="24" t="s">
        <v>137</v>
      </c>
      <c r="C24" s="90">
        <f>2.617-0.276</f>
        <v>2.3410000000000002</v>
      </c>
      <c r="D24" s="422">
        <f t="shared" si="0"/>
        <v>2.3410000000000002</v>
      </c>
      <c r="E24" s="422">
        <f t="shared" si="1"/>
        <v>0</v>
      </c>
      <c r="F24" s="25" t="s">
        <v>47</v>
      </c>
      <c r="G24" s="26" t="s">
        <v>138</v>
      </c>
      <c r="H24" s="188"/>
      <c r="I24" s="326"/>
      <c r="J24" s="250">
        <v>2.3410000000000002</v>
      </c>
      <c r="K24" s="28" t="s">
        <v>139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193"/>
      <c r="W24" s="194"/>
      <c r="X24" s="193"/>
      <c r="Y24" s="255"/>
      <c r="Z24" s="299"/>
      <c r="AA24" s="32"/>
      <c r="AB24" s="32"/>
      <c r="AC24" s="35"/>
      <c r="AD24" s="32"/>
      <c r="AE24" s="34"/>
      <c r="AF24" s="34"/>
      <c r="AG24" s="34"/>
      <c r="AH24" s="34"/>
      <c r="AI24" s="35"/>
      <c r="AJ24" s="35"/>
      <c r="AK24" s="214"/>
      <c r="AL24" s="214"/>
      <c r="AM24" s="200"/>
      <c r="AN24" s="303"/>
      <c r="AO24" s="237"/>
      <c r="AP24" s="167">
        <v>0</v>
      </c>
      <c r="AQ24" s="167">
        <v>19</v>
      </c>
      <c r="AR24" s="168" t="s">
        <v>1</v>
      </c>
      <c r="AS24" s="169" t="s">
        <v>1</v>
      </c>
      <c r="AT24" s="156"/>
    </row>
    <row r="25" spans="1:46" ht="42" x14ac:dyDescent="0.2">
      <c r="A25" s="23" t="s">
        <v>140</v>
      </c>
      <c r="B25" s="24" t="s">
        <v>141</v>
      </c>
      <c r="C25" s="90">
        <f>18.086-0.203</f>
        <v>17.882999999999999</v>
      </c>
      <c r="D25" s="422">
        <f t="shared" si="0"/>
        <v>17.882999999999999</v>
      </c>
      <c r="E25" s="422">
        <f t="shared" si="1"/>
        <v>0</v>
      </c>
      <c r="F25" s="25" t="s">
        <v>47</v>
      </c>
      <c r="G25" s="26" t="s">
        <v>142</v>
      </c>
      <c r="H25" s="188"/>
      <c r="I25" s="326"/>
      <c r="J25" s="250">
        <v>17.882999999999999</v>
      </c>
      <c r="K25" s="28" t="s">
        <v>143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193"/>
      <c r="W25" s="194"/>
      <c r="X25" s="193"/>
      <c r="Y25" s="255"/>
      <c r="Z25" s="299"/>
      <c r="AA25" s="32"/>
      <c r="AB25" s="32"/>
      <c r="AC25" s="35"/>
      <c r="AD25" s="32"/>
      <c r="AE25" s="34"/>
      <c r="AF25" s="34"/>
      <c r="AG25" s="34"/>
      <c r="AH25" s="34"/>
      <c r="AI25" s="35"/>
      <c r="AJ25" s="35"/>
      <c r="AK25" s="214"/>
      <c r="AL25" s="214"/>
      <c r="AM25" s="200"/>
      <c r="AN25" s="303"/>
      <c r="AO25" s="237"/>
      <c r="AP25" s="167">
        <v>0</v>
      </c>
      <c r="AQ25" s="167">
        <v>73</v>
      </c>
      <c r="AR25" s="168" t="s">
        <v>144</v>
      </c>
      <c r="AS25" s="169" t="s">
        <v>33</v>
      </c>
      <c r="AT25" s="156"/>
    </row>
    <row r="26" spans="1:46" ht="42" x14ac:dyDescent="0.2">
      <c r="A26" s="23" t="s">
        <v>145</v>
      </c>
      <c r="B26" s="24" t="s">
        <v>146</v>
      </c>
      <c r="C26" s="90">
        <f>20.938-19.592</f>
        <v>1.3460000000000001</v>
      </c>
      <c r="D26" s="422">
        <f t="shared" si="0"/>
        <v>1.3460000000000001</v>
      </c>
      <c r="E26" s="422">
        <f t="shared" si="1"/>
        <v>0</v>
      </c>
      <c r="F26" s="25" t="s">
        <v>47</v>
      </c>
      <c r="G26" s="26" t="s">
        <v>147</v>
      </c>
      <c r="H26" s="188"/>
      <c r="I26" s="328" t="s">
        <v>146</v>
      </c>
      <c r="J26" s="250">
        <v>1.3460000000000001</v>
      </c>
      <c r="K26" s="28" t="s">
        <v>148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93"/>
      <c r="W26" s="194"/>
      <c r="X26" s="193"/>
      <c r="Y26" s="255"/>
      <c r="Z26" s="299"/>
      <c r="AA26" s="32"/>
      <c r="AB26" s="32"/>
      <c r="AC26" s="35"/>
      <c r="AD26" s="32"/>
      <c r="AE26" s="34"/>
      <c r="AF26" s="34"/>
      <c r="AG26" s="34"/>
      <c r="AH26" s="34"/>
      <c r="AI26" s="35"/>
      <c r="AJ26" s="35"/>
      <c r="AK26" s="214"/>
      <c r="AL26" s="214"/>
      <c r="AM26" s="200"/>
      <c r="AN26" s="303"/>
      <c r="AO26" s="237"/>
      <c r="AP26" s="167">
        <v>0</v>
      </c>
      <c r="AQ26" s="167">
        <v>9</v>
      </c>
      <c r="AR26" s="168" t="s">
        <v>1</v>
      </c>
      <c r="AS26" s="169" t="s">
        <v>1</v>
      </c>
      <c r="AT26" s="156"/>
    </row>
    <row r="27" spans="1:46" ht="31.5" x14ac:dyDescent="0.2">
      <c r="A27" s="23" t="s">
        <v>149</v>
      </c>
      <c r="B27" s="24" t="s">
        <v>150</v>
      </c>
      <c r="C27" s="90">
        <f>24.087-0.376</f>
        <v>23.710999999999999</v>
      </c>
      <c r="D27" s="422">
        <f t="shared" si="0"/>
        <v>23.710999999999999</v>
      </c>
      <c r="E27" s="422">
        <f t="shared" si="1"/>
        <v>0</v>
      </c>
      <c r="F27" s="25" t="s">
        <v>47</v>
      </c>
      <c r="G27" s="26" t="s">
        <v>151</v>
      </c>
      <c r="H27" s="188"/>
      <c r="I27" s="326"/>
      <c r="J27" s="250">
        <v>23.710999999999999</v>
      </c>
      <c r="K27" s="28" t="s">
        <v>152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193"/>
      <c r="W27" s="194"/>
      <c r="X27" s="193"/>
      <c r="Y27" s="255"/>
      <c r="Z27" s="299"/>
      <c r="AA27" s="32"/>
      <c r="AB27" s="32"/>
      <c r="AC27" s="35"/>
      <c r="AD27" s="32"/>
      <c r="AE27" s="34"/>
      <c r="AF27" s="34"/>
      <c r="AG27" s="34"/>
      <c r="AH27" s="34"/>
      <c r="AI27" s="35"/>
      <c r="AJ27" s="35"/>
      <c r="AK27" s="214"/>
      <c r="AL27" s="214"/>
      <c r="AM27" s="200"/>
      <c r="AN27" s="303"/>
      <c r="AO27" s="237"/>
      <c r="AP27" s="167">
        <v>0</v>
      </c>
      <c r="AQ27" s="167">
        <v>164</v>
      </c>
      <c r="AR27" s="168" t="s">
        <v>1</v>
      </c>
      <c r="AS27" s="169" t="s">
        <v>1</v>
      </c>
      <c r="AT27" s="156"/>
    </row>
    <row r="28" spans="1:46" ht="21" x14ac:dyDescent="0.2">
      <c r="A28" s="23" t="s">
        <v>153</v>
      </c>
      <c r="B28" s="24" t="s">
        <v>154</v>
      </c>
      <c r="C28" s="90">
        <f>19.969-5.249</f>
        <v>14.720000000000002</v>
      </c>
      <c r="D28" s="422">
        <f t="shared" si="0"/>
        <v>14.720000000000002</v>
      </c>
      <c r="E28" s="422">
        <f t="shared" si="1"/>
        <v>0</v>
      </c>
      <c r="F28" s="25" t="s">
        <v>47</v>
      </c>
      <c r="G28" s="26" t="s">
        <v>155</v>
      </c>
      <c r="H28" s="188"/>
      <c r="I28" s="326"/>
      <c r="J28" s="252">
        <v>14.720000000000002</v>
      </c>
      <c r="K28" s="28" t="s">
        <v>156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f>19.969-5.249</f>
        <v>14.720000000000002</v>
      </c>
      <c r="S28" s="30" t="s">
        <v>156</v>
      </c>
      <c r="T28" s="30"/>
      <c r="U28" s="30"/>
      <c r="V28" s="193"/>
      <c r="W28" s="194"/>
      <c r="X28" s="193"/>
      <c r="Y28" s="255"/>
      <c r="Z28" s="299"/>
      <c r="AA28" s="32"/>
      <c r="AB28" s="32"/>
      <c r="AC28" s="35"/>
      <c r="AD28" s="32"/>
      <c r="AE28" s="34"/>
      <c r="AF28" s="34"/>
      <c r="AG28" s="34"/>
      <c r="AH28" s="34"/>
      <c r="AI28" s="35"/>
      <c r="AJ28" s="35"/>
      <c r="AK28" s="214"/>
      <c r="AL28" s="214"/>
      <c r="AM28" s="200"/>
      <c r="AN28" s="303"/>
      <c r="AO28" s="237"/>
      <c r="AP28" s="167">
        <v>0</v>
      </c>
      <c r="AQ28" s="167">
        <v>0</v>
      </c>
      <c r="AR28" s="168" t="s">
        <v>60</v>
      </c>
      <c r="AS28" s="169" t="s">
        <v>51</v>
      </c>
      <c r="AT28" s="156"/>
    </row>
    <row r="29" spans="1:46" ht="21" x14ac:dyDescent="0.2">
      <c r="A29" s="23" t="s">
        <v>157</v>
      </c>
      <c r="B29" s="24" t="s">
        <v>158</v>
      </c>
      <c r="C29" s="90">
        <f>6.809-0.237</f>
        <v>6.5720000000000001</v>
      </c>
      <c r="D29" s="422">
        <f t="shared" si="0"/>
        <v>6.5720000000000001</v>
      </c>
      <c r="E29" s="422">
        <f t="shared" si="1"/>
        <v>0</v>
      </c>
      <c r="F29" s="25" t="s">
        <v>47</v>
      </c>
      <c r="G29" s="26" t="s">
        <v>159</v>
      </c>
      <c r="H29" s="188"/>
      <c r="I29" s="326"/>
      <c r="J29" s="252">
        <v>6.5720000000000001</v>
      </c>
      <c r="K29" s="28" t="s">
        <v>160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f>6.809-0.237</f>
        <v>6.5720000000000001</v>
      </c>
      <c r="S29" s="30" t="s">
        <v>160</v>
      </c>
      <c r="T29" s="30"/>
      <c r="U29" s="30"/>
      <c r="V29" s="193"/>
      <c r="W29" s="194"/>
      <c r="X29" s="193"/>
      <c r="Y29" s="255"/>
      <c r="Z29" s="299"/>
      <c r="AA29" s="32"/>
      <c r="AB29" s="32"/>
      <c r="AC29" s="35"/>
      <c r="AD29" s="32"/>
      <c r="AE29" s="34"/>
      <c r="AF29" s="34"/>
      <c r="AG29" s="34"/>
      <c r="AH29" s="34"/>
      <c r="AI29" s="35"/>
      <c r="AJ29" s="35"/>
      <c r="AK29" s="214"/>
      <c r="AL29" s="214"/>
      <c r="AM29" s="200"/>
      <c r="AN29" s="303"/>
      <c r="AO29" s="237"/>
      <c r="AP29" s="167">
        <v>0</v>
      </c>
      <c r="AQ29" s="167">
        <v>0</v>
      </c>
      <c r="AR29" s="168" t="s">
        <v>60</v>
      </c>
      <c r="AS29" s="169" t="s">
        <v>51</v>
      </c>
      <c r="AT29" s="156"/>
    </row>
    <row r="30" spans="1:46" ht="102" x14ac:dyDescent="0.2">
      <c r="A30" s="23" t="s">
        <v>161</v>
      </c>
      <c r="B30" s="24" t="s">
        <v>162</v>
      </c>
      <c r="C30" s="90">
        <f>101.354-0.022</f>
        <v>101.33199999999999</v>
      </c>
      <c r="D30" s="422">
        <f t="shared" si="0"/>
        <v>101.33200000000001</v>
      </c>
      <c r="E30" s="422">
        <f t="shared" si="1"/>
        <v>0</v>
      </c>
      <c r="F30" s="25" t="s">
        <v>163</v>
      </c>
      <c r="G30" s="38" t="s">
        <v>164</v>
      </c>
      <c r="H30" s="188"/>
      <c r="I30" s="326" t="s">
        <v>165</v>
      </c>
      <c r="J30" s="196">
        <v>73.567000000000007</v>
      </c>
      <c r="K30" s="40" t="s">
        <v>1742</v>
      </c>
      <c r="L30" s="62">
        <v>0</v>
      </c>
      <c r="M30" s="62">
        <v>0</v>
      </c>
      <c r="N30" s="63">
        <v>0</v>
      </c>
      <c r="O30" s="63">
        <v>0</v>
      </c>
      <c r="P30" s="63">
        <v>0</v>
      </c>
      <c r="Q30" s="63">
        <v>0</v>
      </c>
      <c r="R30" s="62">
        <v>35.665999999999997</v>
      </c>
      <c r="S30" s="62"/>
      <c r="T30" s="63"/>
      <c r="U30" s="63"/>
      <c r="V30" s="28">
        <f>47.646+23.686</f>
        <v>71.331999999999994</v>
      </c>
      <c r="W30" s="40" t="s">
        <v>1631</v>
      </c>
      <c r="X30" s="149"/>
      <c r="Y30" s="253" t="s">
        <v>1620</v>
      </c>
      <c r="Z30" s="469">
        <v>27.765000000000001</v>
      </c>
      <c r="AA30" s="53" t="s">
        <v>1743</v>
      </c>
      <c r="AB30" s="53"/>
      <c r="AC30" s="56">
        <v>0</v>
      </c>
      <c r="AD30" s="53" t="s">
        <v>1744</v>
      </c>
      <c r="AE30" s="55">
        <v>0</v>
      </c>
      <c r="AF30" s="55">
        <v>0</v>
      </c>
      <c r="AG30" s="55">
        <v>0</v>
      </c>
      <c r="AH30" s="55">
        <v>0</v>
      </c>
      <c r="AI30" s="53">
        <v>27.765000000000001</v>
      </c>
      <c r="AJ30" s="53" t="s">
        <v>1743</v>
      </c>
      <c r="AK30" s="56">
        <v>0</v>
      </c>
      <c r="AL30" s="56">
        <v>0</v>
      </c>
      <c r="AM30" s="470">
        <v>27.765000000000001</v>
      </c>
      <c r="AN30" s="471" t="s">
        <v>1743</v>
      </c>
      <c r="AO30" s="237"/>
      <c r="AP30" s="167">
        <v>62</v>
      </c>
      <c r="AQ30" s="167">
        <v>611</v>
      </c>
      <c r="AR30" s="168" t="s">
        <v>144</v>
      </c>
      <c r="AS30" s="169" t="s">
        <v>33</v>
      </c>
      <c r="AT30" s="156"/>
    </row>
    <row r="31" spans="1:46" ht="31.5" x14ac:dyDescent="0.2">
      <c r="A31" s="23" t="s">
        <v>166</v>
      </c>
      <c r="B31" s="24" t="s">
        <v>167</v>
      </c>
      <c r="C31" s="90">
        <f>26.35-0.076</f>
        <v>26.274000000000001</v>
      </c>
      <c r="D31" s="422">
        <f t="shared" si="0"/>
        <v>26.274000000000001</v>
      </c>
      <c r="E31" s="422">
        <f t="shared" si="1"/>
        <v>0</v>
      </c>
      <c r="F31" s="25" t="s">
        <v>68</v>
      </c>
      <c r="G31" s="26" t="s">
        <v>168</v>
      </c>
      <c r="H31" s="188"/>
      <c r="I31" s="326"/>
      <c r="J31" s="250">
        <v>26.274000000000001</v>
      </c>
      <c r="K31" s="29" t="s">
        <v>169</v>
      </c>
      <c r="L31" s="30"/>
      <c r="M31" s="30"/>
      <c r="N31" s="31"/>
      <c r="O31" s="31"/>
      <c r="P31" s="31"/>
      <c r="Q31" s="31"/>
      <c r="R31" s="30"/>
      <c r="S31" s="30"/>
      <c r="T31" s="208"/>
      <c r="U31" s="208"/>
      <c r="V31" s="193"/>
      <c r="W31" s="199"/>
      <c r="X31" s="193"/>
      <c r="Y31" s="256"/>
      <c r="Z31" s="299"/>
      <c r="AA31" s="32"/>
      <c r="AB31" s="32"/>
      <c r="AC31" s="35"/>
      <c r="AD31" s="32"/>
      <c r="AE31" s="34"/>
      <c r="AF31" s="34"/>
      <c r="AG31" s="34"/>
      <c r="AH31" s="34"/>
      <c r="AI31" s="35"/>
      <c r="AJ31" s="35"/>
      <c r="AK31" s="214"/>
      <c r="AL31" s="214"/>
      <c r="AM31" s="198"/>
      <c r="AN31" s="305"/>
      <c r="AO31" s="237"/>
      <c r="AP31" s="167">
        <v>23</v>
      </c>
      <c r="AQ31" s="167">
        <v>177</v>
      </c>
      <c r="AR31" s="171" t="s">
        <v>1</v>
      </c>
      <c r="AS31" s="172" t="s">
        <v>1</v>
      </c>
    </row>
    <row r="32" spans="1:46" ht="42" x14ac:dyDescent="0.2">
      <c r="A32" s="23" t="s">
        <v>170</v>
      </c>
      <c r="B32" s="24" t="s">
        <v>171</v>
      </c>
      <c r="C32" s="90">
        <f>184.102-111.772</f>
        <v>72.33</v>
      </c>
      <c r="D32" s="422">
        <f t="shared" si="0"/>
        <v>72.33</v>
      </c>
      <c r="E32" s="422">
        <f t="shared" si="1"/>
        <v>0</v>
      </c>
      <c r="F32" s="25" t="s">
        <v>47</v>
      </c>
      <c r="G32" s="26" t="s">
        <v>172</v>
      </c>
      <c r="H32" s="188"/>
      <c r="I32" s="326"/>
      <c r="J32" s="250">
        <v>72.33</v>
      </c>
      <c r="K32" s="28" t="s">
        <v>173</v>
      </c>
      <c r="L32" s="46">
        <v>42.7</v>
      </c>
      <c r="M32" s="46" t="s">
        <v>1723</v>
      </c>
      <c r="N32" s="47">
        <v>110</v>
      </c>
      <c r="O32" s="47">
        <v>0</v>
      </c>
      <c r="P32" s="47">
        <v>20</v>
      </c>
      <c r="Q32" s="47">
        <v>5</v>
      </c>
      <c r="R32" s="46">
        <v>17.402000000000001</v>
      </c>
      <c r="S32" s="46" t="s">
        <v>1724</v>
      </c>
      <c r="T32" s="195"/>
      <c r="U32" s="195"/>
      <c r="V32" s="193"/>
      <c r="W32" s="199"/>
      <c r="X32" s="193"/>
      <c r="Y32" s="256"/>
      <c r="Z32" s="299"/>
      <c r="AA32" s="32"/>
      <c r="AB32" s="32"/>
      <c r="AC32" s="35"/>
      <c r="AD32" s="32"/>
      <c r="AE32" s="34"/>
      <c r="AF32" s="34"/>
      <c r="AG32" s="34"/>
      <c r="AH32" s="34"/>
      <c r="AI32" s="35"/>
      <c r="AJ32" s="35"/>
      <c r="AK32" s="214"/>
      <c r="AL32" s="214"/>
      <c r="AM32" s="198"/>
      <c r="AN32" s="305"/>
      <c r="AO32" s="237"/>
      <c r="AP32" s="167">
        <v>112</v>
      </c>
      <c r="AQ32" s="167">
        <v>464</v>
      </c>
      <c r="AR32" s="168" t="s">
        <v>144</v>
      </c>
      <c r="AS32" s="169" t="s">
        <v>1</v>
      </c>
      <c r="AT32" s="156"/>
    </row>
    <row r="33" spans="1:46" ht="31.5" x14ac:dyDescent="0.2">
      <c r="A33" s="23" t="s">
        <v>174</v>
      </c>
      <c r="B33" s="24" t="s">
        <v>175</v>
      </c>
      <c r="C33" s="90">
        <f>9.669-0.112</f>
        <v>9.5570000000000004</v>
      </c>
      <c r="D33" s="422">
        <f t="shared" si="0"/>
        <v>9.5570000000000004</v>
      </c>
      <c r="E33" s="422">
        <f t="shared" si="1"/>
        <v>0</v>
      </c>
      <c r="F33" s="25" t="s">
        <v>47</v>
      </c>
      <c r="G33" s="26" t="s">
        <v>176</v>
      </c>
      <c r="H33" s="188"/>
      <c r="I33" s="326"/>
      <c r="J33" s="250">
        <v>9.5570000000000004</v>
      </c>
      <c r="K33" s="28" t="s">
        <v>177</v>
      </c>
      <c r="L33" s="46"/>
      <c r="M33" s="46"/>
      <c r="N33" s="47"/>
      <c r="O33" s="47"/>
      <c r="P33" s="47"/>
      <c r="Q33" s="47"/>
      <c r="R33" s="46"/>
      <c r="S33" s="46"/>
      <c r="T33" s="195"/>
      <c r="U33" s="195"/>
      <c r="V33" s="193"/>
      <c r="W33" s="199"/>
      <c r="X33" s="193"/>
      <c r="Y33" s="256"/>
      <c r="Z33" s="299"/>
      <c r="AA33" s="32"/>
      <c r="AB33" s="32"/>
      <c r="AC33" s="35"/>
      <c r="AD33" s="32"/>
      <c r="AE33" s="34"/>
      <c r="AF33" s="34"/>
      <c r="AG33" s="34"/>
      <c r="AH33" s="34"/>
      <c r="AI33" s="35"/>
      <c r="AJ33" s="35"/>
      <c r="AK33" s="214"/>
      <c r="AL33" s="214"/>
      <c r="AM33" s="198"/>
      <c r="AN33" s="305"/>
      <c r="AO33" s="237"/>
      <c r="AP33" s="166">
        <v>0</v>
      </c>
      <c r="AQ33" s="167">
        <v>59</v>
      </c>
      <c r="AR33" s="171" t="s">
        <v>1</v>
      </c>
      <c r="AS33" s="172" t="s">
        <v>1</v>
      </c>
      <c r="AT33" s="156"/>
    </row>
    <row r="34" spans="1:46" ht="31.5" x14ac:dyDescent="0.2">
      <c r="A34" s="23" t="s">
        <v>178</v>
      </c>
      <c r="B34" s="24" t="s">
        <v>179</v>
      </c>
      <c r="C34" s="90">
        <f>19.076-0.165</f>
        <v>18.911000000000001</v>
      </c>
      <c r="D34" s="422">
        <f t="shared" si="0"/>
        <v>18.911000000000001</v>
      </c>
      <c r="E34" s="422">
        <f t="shared" si="1"/>
        <v>0</v>
      </c>
      <c r="F34" s="25" t="s">
        <v>47</v>
      </c>
      <c r="G34" s="26" t="s">
        <v>180</v>
      </c>
      <c r="H34" s="188"/>
      <c r="I34" s="326"/>
      <c r="J34" s="250">
        <v>18.911000000000001</v>
      </c>
      <c r="K34" s="28" t="s">
        <v>181</v>
      </c>
      <c r="L34" s="46"/>
      <c r="M34" s="46"/>
      <c r="N34" s="47"/>
      <c r="O34" s="47"/>
      <c r="P34" s="47"/>
      <c r="Q34" s="47"/>
      <c r="R34" s="46"/>
      <c r="S34" s="46"/>
      <c r="T34" s="195"/>
      <c r="U34" s="195"/>
      <c r="V34" s="193"/>
      <c r="W34" s="199"/>
      <c r="X34" s="193"/>
      <c r="Y34" s="256"/>
      <c r="Z34" s="299"/>
      <c r="AA34" s="32"/>
      <c r="AB34" s="32"/>
      <c r="AC34" s="35"/>
      <c r="AD34" s="32"/>
      <c r="AE34" s="34"/>
      <c r="AF34" s="34"/>
      <c r="AG34" s="34"/>
      <c r="AH34" s="34"/>
      <c r="AI34" s="35"/>
      <c r="AJ34" s="35"/>
      <c r="AK34" s="214"/>
      <c r="AL34" s="214"/>
      <c r="AM34" s="198"/>
      <c r="AN34" s="305"/>
      <c r="AO34" s="237"/>
      <c r="AP34" s="166">
        <v>0</v>
      </c>
      <c r="AQ34" s="167">
        <v>127</v>
      </c>
      <c r="AR34" s="171" t="s">
        <v>1</v>
      </c>
      <c r="AS34" s="172" t="s">
        <v>1</v>
      </c>
      <c r="AT34" s="156"/>
    </row>
    <row r="35" spans="1:46" ht="31.5" x14ac:dyDescent="0.2">
      <c r="A35" s="23" t="s">
        <v>182</v>
      </c>
      <c r="B35" s="24" t="s">
        <v>183</v>
      </c>
      <c r="C35" s="90">
        <f>75.297-5.899</f>
        <v>69.397999999999996</v>
      </c>
      <c r="D35" s="422">
        <f t="shared" si="0"/>
        <v>69.397999999999996</v>
      </c>
      <c r="E35" s="422">
        <f t="shared" si="1"/>
        <v>0</v>
      </c>
      <c r="F35" s="25" t="s">
        <v>47</v>
      </c>
      <c r="G35" s="26" t="s">
        <v>184</v>
      </c>
      <c r="H35" s="188"/>
      <c r="I35" s="326"/>
      <c r="J35" s="250">
        <v>69.397999999999996</v>
      </c>
      <c r="K35" s="28" t="s">
        <v>185</v>
      </c>
      <c r="L35" s="46"/>
      <c r="M35" s="46"/>
      <c r="N35" s="47"/>
      <c r="O35" s="47"/>
      <c r="P35" s="47"/>
      <c r="Q35" s="47"/>
      <c r="R35" s="46"/>
      <c r="S35" s="46"/>
      <c r="T35" s="195"/>
      <c r="U35" s="195"/>
      <c r="V35" s="193"/>
      <c r="W35" s="199"/>
      <c r="X35" s="193"/>
      <c r="Y35" s="256"/>
      <c r="Z35" s="299"/>
      <c r="AA35" s="32"/>
      <c r="AB35" s="32"/>
      <c r="AC35" s="35"/>
      <c r="AD35" s="32"/>
      <c r="AE35" s="34"/>
      <c r="AF35" s="34"/>
      <c r="AG35" s="34"/>
      <c r="AH35" s="34"/>
      <c r="AI35" s="35"/>
      <c r="AJ35" s="35"/>
      <c r="AK35" s="214"/>
      <c r="AL35" s="214"/>
      <c r="AM35" s="198"/>
      <c r="AN35" s="305"/>
      <c r="AO35" s="237"/>
      <c r="AP35" s="166">
        <v>0</v>
      </c>
      <c r="AQ35" s="167">
        <v>489</v>
      </c>
      <c r="AR35" s="171" t="s">
        <v>1</v>
      </c>
      <c r="AS35" s="172" t="s">
        <v>1</v>
      </c>
      <c r="AT35" s="156"/>
    </row>
    <row r="36" spans="1:46" ht="31.5" x14ac:dyDescent="0.2">
      <c r="A36" s="23" t="s">
        <v>186</v>
      </c>
      <c r="B36" s="24" t="s">
        <v>187</v>
      </c>
      <c r="C36" s="90">
        <f>11.922-0.027</f>
        <v>11.895000000000001</v>
      </c>
      <c r="D36" s="422">
        <f t="shared" si="0"/>
        <v>11.895000000000001</v>
      </c>
      <c r="E36" s="422">
        <f t="shared" si="1"/>
        <v>0</v>
      </c>
      <c r="F36" s="25" t="s">
        <v>47</v>
      </c>
      <c r="G36" s="26" t="s">
        <v>188</v>
      </c>
      <c r="H36" s="188"/>
      <c r="I36" s="326"/>
      <c r="J36" s="250">
        <v>11.895000000000001</v>
      </c>
      <c r="K36" s="28" t="s">
        <v>189</v>
      </c>
      <c r="L36" s="46"/>
      <c r="M36" s="46"/>
      <c r="N36" s="47"/>
      <c r="O36" s="47"/>
      <c r="P36" s="47"/>
      <c r="Q36" s="47"/>
      <c r="R36" s="46"/>
      <c r="S36" s="46"/>
      <c r="T36" s="195"/>
      <c r="U36" s="195"/>
      <c r="V36" s="193"/>
      <c r="W36" s="199"/>
      <c r="X36" s="193"/>
      <c r="Y36" s="256"/>
      <c r="Z36" s="299"/>
      <c r="AA36" s="32"/>
      <c r="AB36" s="32"/>
      <c r="AC36" s="35"/>
      <c r="AD36" s="32"/>
      <c r="AE36" s="34"/>
      <c r="AF36" s="34"/>
      <c r="AG36" s="34"/>
      <c r="AH36" s="34"/>
      <c r="AI36" s="35"/>
      <c r="AJ36" s="35"/>
      <c r="AK36" s="214"/>
      <c r="AL36" s="214"/>
      <c r="AM36" s="198"/>
      <c r="AN36" s="305"/>
      <c r="AO36" s="237"/>
      <c r="AP36" s="166">
        <v>0</v>
      </c>
      <c r="AQ36" s="167">
        <v>74</v>
      </c>
      <c r="AR36" s="171" t="s">
        <v>1</v>
      </c>
      <c r="AS36" s="172" t="s">
        <v>1</v>
      </c>
      <c r="AT36" s="156"/>
    </row>
    <row r="37" spans="1:46" ht="21" x14ac:dyDescent="0.2">
      <c r="A37" s="23" t="s">
        <v>190</v>
      </c>
      <c r="B37" s="24" t="s">
        <v>191</v>
      </c>
      <c r="C37" s="90">
        <f>14.904-0.132</f>
        <v>14.772</v>
      </c>
      <c r="D37" s="422">
        <f t="shared" si="0"/>
        <v>14.772</v>
      </c>
      <c r="E37" s="422">
        <f t="shared" si="1"/>
        <v>0</v>
      </c>
      <c r="F37" s="25" t="s">
        <v>47</v>
      </c>
      <c r="G37" s="26" t="s">
        <v>192</v>
      </c>
      <c r="H37" s="188"/>
      <c r="I37" s="326"/>
      <c r="J37" s="250">
        <v>14.772</v>
      </c>
      <c r="K37" s="28" t="s">
        <v>193</v>
      </c>
      <c r="L37" s="46"/>
      <c r="M37" s="46"/>
      <c r="N37" s="47"/>
      <c r="O37" s="47"/>
      <c r="P37" s="47"/>
      <c r="Q37" s="47"/>
      <c r="R37" s="46"/>
      <c r="S37" s="46"/>
      <c r="T37" s="195"/>
      <c r="U37" s="195"/>
      <c r="V37" s="193"/>
      <c r="W37" s="199"/>
      <c r="X37" s="193"/>
      <c r="Y37" s="256"/>
      <c r="Z37" s="299"/>
      <c r="AA37" s="32"/>
      <c r="AB37" s="32"/>
      <c r="AC37" s="35"/>
      <c r="AD37" s="32"/>
      <c r="AE37" s="34"/>
      <c r="AF37" s="34"/>
      <c r="AG37" s="34"/>
      <c r="AH37" s="34"/>
      <c r="AI37" s="35"/>
      <c r="AJ37" s="35"/>
      <c r="AK37" s="214"/>
      <c r="AL37" s="214"/>
      <c r="AM37" s="198"/>
      <c r="AN37" s="305"/>
      <c r="AO37" s="237"/>
      <c r="AP37" s="166">
        <v>0</v>
      </c>
      <c r="AQ37" s="167">
        <v>140</v>
      </c>
      <c r="AR37" s="171" t="s">
        <v>1</v>
      </c>
      <c r="AS37" s="172" t="s">
        <v>1</v>
      </c>
      <c r="AT37" s="156"/>
    </row>
    <row r="38" spans="1:46" ht="31.5" x14ac:dyDescent="0.2">
      <c r="A38" s="23" t="s">
        <v>194</v>
      </c>
      <c r="B38" s="24" t="s">
        <v>195</v>
      </c>
      <c r="C38" s="90">
        <f>30.875-0.727</f>
        <v>30.148</v>
      </c>
      <c r="D38" s="422">
        <f t="shared" si="0"/>
        <v>30.148</v>
      </c>
      <c r="E38" s="422">
        <f t="shared" si="1"/>
        <v>0</v>
      </c>
      <c r="F38" s="25" t="s">
        <v>47</v>
      </c>
      <c r="G38" s="26" t="s">
        <v>196</v>
      </c>
      <c r="H38" s="188"/>
      <c r="I38" s="326"/>
      <c r="J38" s="250">
        <v>30.148</v>
      </c>
      <c r="K38" s="28" t="s">
        <v>197</v>
      </c>
      <c r="L38" s="46">
        <v>24.2</v>
      </c>
      <c r="M38" s="46" t="s">
        <v>198</v>
      </c>
      <c r="N38" s="47">
        <v>50</v>
      </c>
      <c r="O38" s="47">
        <v>0</v>
      </c>
      <c r="P38" s="47">
        <v>16</v>
      </c>
      <c r="Q38" s="47">
        <v>1</v>
      </c>
      <c r="R38" s="46"/>
      <c r="S38" s="46"/>
      <c r="T38" s="195"/>
      <c r="U38" s="195"/>
      <c r="V38" s="193"/>
      <c r="W38" s="199"/>
      <c r="X38" s="193"/>
      <c r="Y38" s="256"/>
      <c r="Z38" s="299"/>
      <c r="AA38" s="32"/>
      <c r="AB38" s="32"/>
      <c r="AC38" s="35"/>
      <c r="AD38" s="32"/>
      <c r="AE38" s="34"/>
      <c r="AF38" s="34"/>
      <c r="AG38" s="34"/>
      <c r="AH38" s="34"/>
      <c r="AI38" s="35"/>
      <c r="AJ38" s="35"/>
      <c r="AK38" s="214"/>
      <c r="AL38" s="214"/>
      <c r="AM38" s="198"/>
      <c r="AN38" s="305"/>
      <c r="AO38" s="237"/>
      <c r="AP38" s="166">
        <v>51</v>
      </c>
      <c r="AQ38" s="167">
        <v>185</v>
      </c>
      <c r="AR38" s="168" t="s">
        <v>144</v>
      </c>
      <c r="AS38" s="169" t="s">
        <v>1</v>
      </c>
      <c r="AT38" s="156"/>
    </row>
    <row r="39" spans="1:46" ht="42" x14ac:dyDescent="0.2">
      <c r="A39" s="23" t="s">
        <v>199</v>
      </c>
      <c r="B39" s="24" t="s">
        <v>200</v>
      </c>
      <c r="C39" s="90">
        <v>97.06</v>
      </c>
      <c r="D39" s="422">
        <f t="shared" si="0"/>
        <v>97.06</v>
      </c>
      <c r="E39" s="422">
        <f t="shared" si="1"/>
        <v>0</v>
      </c>
      <c r="F39" s="25" t="s">
        <v>47</v>
      </c>
      <c r="G39" s="26" t="s">
        <v>201</v>
      </c>
      <c r="H39" s="188"/>
      <c r="I39" s="326" t="s">
        <v>202</v>
      </c>
      <c r="J39" s="250">
        <v>97.06</v>
      </c>
      <c r="K39" s="57" t="s">
        <v>203</v>
      </c>
      <c r="L39" s="62"/>
      <c r="M39" s="62"/>
      <c r="N39" s="63"/>
      <c r="O39" s="63"/>
      <c r="P39" s="63"/>
      <c r="Q39" s="63"/>
      <c r="R39" s="62"/>
      <c r="S39" s="62"/>
      <c r="T39" s="197"/>
      <c r="U39" s="197"/>
      <c r="V39" s="193"/>
      <c r="W39" s="199"/>
      <c r="X39" s="193"/>
      <c r="Y39" s="256"/>
      <c r="Z39" s="299"/>
      <c r="AA39" s="32"/>
      <c r="AB39" s="32"/>
      <c r="AC39" s="35"/>
      <c r="AD39" s="32"/>
      <c r="AE39" s="34"/>
      <c r="AF39" s="34"/>
      <c r="AG39" s="34"/>
      <c r="AH39" s="34"/>
      <c r="AI39" s="35"/>
      <c r="AJ39" s="35"/>
      <c r="AK39" s="214"/>
      <c r="AL39" s="214"/>
      <c r="AM39" s="198"/>
      <c r="AN39" s="305"/>
      <c r="AO39" s="237"/>
      <c r="AP39" s="166">
        <v>43</v>
      </c>
      <c r="AQ39" s="167">
        <v>659</v>
      </c>
      <c r="AR39" s="171" t="s">
        <v>1</v>
      </c>
      <c r="AS39" s="172" t="s">
        <v>1</v>
      </c>
      <c r="AT39" s="156"/>
    </row>
    <row r="40" spans="1:46" ht="31.5" x14ac:dyDescent="0.2">
      <c r="A40" s="23" t="s">
        <v>204</v>
      </c>
      <c r="B40" s="24" t="s">
        <v>205</v>
      </c>
      <c r="C40" s="90">
        <f>58.071-0.292</f>
        <v>57.778999999999996</v>
      </c>
      <c r="D40" s="422">
        <f t="shared" si="0"/>
        <v>57.779000000000003</v>
      </c>
      <c r="E40" s="422">
        <f t="shared" si="1"/>
        <v>0</v>
      </c>
      <c r="F40" s="25" t="s">
        <v>47</v>
      </c>
      <c r="G40" s="26" t="s">
        <v>206</v>
      </c>
      <c r="H40" s="188"/>
      <c r="I40" s="326"/>
      <c r="J40" s="250">
        <v>57.779000000000003</v>
      </c>
      <c r="K40" s="57" t="s">
        <v>207</v>
      </c>
      <c r="L40" s="62">
        <v>27.6</v>
      </c>
      <c r="M40" s="62" t="s">
        <v>1725</v>
      </c>
      <c r="N40" s="62">
        <v>128</v>
      </c>
      <c r="O40" s="62">
        <v>0</v>
      </c>
      <c r="P40" s="62">
        <v>9</v>
      </c>
      <c r="Q40" s="62">
        <v>4</v>
      </c>
      <c r="R40" s="62">
        <v>0.47099999999999997</v>
      </c>
      <c r="S40" s="62" t="s">
        <v>1726</v>
      </c>
      <c r="T40" s="62"/>
      <c r="U40" s="62"/>
      <c r="V40" s="193"/>
      <c r="W40" s="199"/>
      <c r="X40" s="193"/>
      <c r="Y40" s="256"/>
      <c r="Z40" s="299"/>
      <c r="AA40" s="32"/>
      <c r="AB40" s="32"/>
      <c r="AC40" s="35"/>
      <c r="AD40" s="32"/>
      <c r="AE40" s="34"/>
      <c r="AF40" s="34"/>
      <c r="AG40" s="34"/>
      <c r="AH40" s="34"/>
      <c r="AI40" s="35"/>
      <c r="AJ40" s="35"/>
      <c r="AK40" s="214"/>
      <c r="AL40" s="214"/>
      <c r="AM40" s="198"/>
      <c r="AN40" s="305"/>
      <c r="AO40" s="237"/>
      <c r="AP40" s="166">
        <v>168</v>
      </c>
      <c r="AQ40" s="167">
        <v>284</v>
      </c>
      <c r="AR40" s="168" t="s">
        <v>144</v>
      </c>
      <c r="AS40" s="169" t="s">
        <v>33</v>
      </c>
      <c r="AT40" s="156"/>
    </row>
    <row r="41" spans="1:46" ht="21" x14ac:dyDescent="0.2">
      <c r="A41" s="367" t="s">
        <v>208</v>
      </c>
      <c r="B41" s="24" t="s">
        <v>209</v>
      </c>
      <c r="C41" s="90">
        <f>70.364-0.306</f>
        <v>70.058000000000007</v>
      </c>
      <c r="D41" s="422">
        <f t="shared" si="0"/>
        <v>70.058000000000007</v>
      </c>
      <c r="E41" s="422">
        <f t="shared" si="1"/>
        <v>0</v>
      </c>
      <c r="F41" s="25" t="s">
        <v>210</v>
      </c>
      <c r="G41" s="26" t="s">
        <v>211</v>
      </c>
      <c r="H41" s="188"/>
      <c r="I41" s="326"/>
      <c r="J41" s="250">
        <v>70.058000000000007</v>
      </c>
      <c r="K41" s="29" t="s">
        <v>212</v>
      </c>
      <c r="L41" s="30">
        <v>68.8</v>
      </c>
      <c r="M41" s="62" t="s">
        <v>213</v>
      </c>
      <c r="N41" s="62">
        <v>451</v>
      </c>
      <c r="O41" s="62">
        <v>0</v>
      </c>
      <c r="P41" s="62">
        <v>3</v>
      </c>
      <c r="Q41" s="62">
        <v>13</v>
      </c>
      <c r="R41" s="62">
        <f>0.4-0.306+70.364-68.7</f>
        <v>1.7579999999999956</v>
      </c>
      <c r="S41" s="62" t="s">
        <v>214</v>
      </c>
      <c r="T41" s="62"/>
      <c r="U41" s="62"/>
      <c r="V41" s="193"/>
      <c r="W41" s="199"/>
      <c r="X41" s="193"/>
      <c r="Y41" s="256"/>
      <c r="Z41" s="299"/>
      <c r="AA41" s="32"/>
      <c r="AB41" s="32"/>
      <c r="AC41" s="35"/>
      <c r="AD41" s="32"/>
      <c r="AE41" s="34"/>
      <c r="AF41" s="34"/>
      <c r="AG41" s="34"/>
      <c r="AH41" s="34"/>
      <c r="AI41" s="35"/>
      <c r="AJ41" s="35"/>
      <c r="AK41" s="214"/>
      <c r="AL41" s="214"/>
      <c r="AM41" s="198"/>
      <c r="AN41" s="305"/>
      <c r="AO41" s="237"/>
      <c r="AP41" s="166">
        <v>0</v>
      </c>
      <c r="AQ41" s="167">
        <v>0</v>
      </c>
      <c r="AR41" s="171" t="s">
        <v>60</v>
      </c>
      <c r="AS41" s="172" t="s">
        <v>1</v>
      </c>
      <c r="AT41" s="156"/>
    </row>
    <row r="42" spans="1:46" ht="31.5" x14ac:dyDescent="0.2">
      <c r="A42" s="23" t="s">
        <v>215</v>
      </c>
      <c r="B42" s="24" t="s">
        <v>216</v>
      </c>
      <c r="C42" s="90">
        <f>27.398-0.65</f>
        <v>26.748000000000001</v>
      </c>
      <c r="D42" s="422">
        <f t="shared" si="0"/>
        <v>26.748000000000001</v>
      </c>
      <c r="E42" s="422">
        <f t="shared" si="1"/>
        <v>0</v>
      </c>
      <c r="F42" s="25" t="s">
        <v>68</v>
      </c>
      <c r="G42" s="26" t="s">
        <v>217</v>
      </c>
      <c r="H42" s="188"/>
      <c r="I42" s="326"/>
      <c r="J42" s="250">
        <v>26.748000000000001</v>
      </c>
      <c r="K42" s="29" t="s">
        <v>218</v>
      </c>
      <c r="L42" s="30"/>
      <c r="M42" s="62"/>
      <c r="N42" s="62"/>
      <c r="O42" s="62"/>
      <c r="P42" s="62"/>
      <c r="Q42" s="62"/>
      <c r="R42" s="62"/>
      <c r="S42" s="62"/>
      <c r="T42" s="62"/>
      <c r="U42" s="62"/>
      <c r="V42" s="193"/>
      <c r="W42" s="199"/>
      <c r="X42" s="193"/>
      <c r="Y42" s="256"/>
      <c r="Z42" s="299"/>
      <c r="AA42" s="32"/>
      <c r="AB42" s="32"/>
      <c r="AC42" s="35"/>
      <c r="AD42" s="32"/>
      <c r="AE42" s="34"/>
      <c r="AF42" s="34"/>
      <c r="AG42" s="34"/>
      <c r="AH42" s="34"/>
      <c r="AI42" s="35"/>
      <c r="AJ42" s="35"/>
      <c r="AK42" s="214"/>
      <c r="AL42" s="214"/>
      <c r="AM42" s="198"/>
      <c r="AN42" s="305"/>
      <c r="AO42" s="237"/>
      <c r="AP42" s="166">
        <v>19</v>
      </c>
      <c r="AQ42" s="167">
        <v>167</v>
      </c>
      <c r="AR42" s="171" t="s">
        <v>1</v>
      </c>
      <c r="AS42" s="172" t="s">
        <v>1</v>
      </c>
    </row>
    <row r="43" spans="1:46" ht="31.5" x14ac:dyDescent="0.2">
      <c r="A43" s="23" t="s">
        <v>219</v>
      </c>
      <c r="B43" s="24" t="s">
        <v>220</v>
      </c>
      <c r="C43" s="90">
        <f>347.302-163.1</f>
        <v>184.20200000000003</v>
      </c>
      <c r="D43" s="422">
        <f t="shared" si="0"/>
        <v>184.202</v>
      </c>
      <c r="E43" s="497">
        <f t="shared" si="1"/>
        <v>0</v>
      </c>
      <c r="F43" s="25" t="s">
        <v>221</v>
      </c>
      <c r="G43" s="26" t="s">
        <v>222</v>
      </c>
      <c r="H43" s="188"/>
      <c r="I43" s="326" t="s">
        <v>220</v>
      </c>
      <c r="J43" s="250">
        <v>177.8</v>
      </c>
      <c r="K43" s="40" t="s">
        <v>223</v>
      </c>
      <c r="L43" s="62">
        <v>0</v>
      </c>
      <c r="M43" s="62">
        <v>0</v>
      </c>
      <c r="N43" s="63">
        <v>0</v>
      </c>
      <c r="O43" s="63">
        <v>0</v>
      </c>
      <c r="P43" s="63">
        <v>0</v>
      </c>
      <c r="Q43" s="63">
        <v>0</v>
      </c>
      <c r="R43" s="62">
        <v>90.2</v>
      </c>
      <c r="S43" s="62"/>
      <c r="T43" s="63"/>
      <c r="U43" s="63"/>
      <c r="V43" s="193"/>
      <c r="W43" s="199"/>
      <c r="X43" s="193"/>
      <c r="Y43" s="199"/>
      <c r="Z43" s="76">
        <v>6.4020000000000001</v>
      </c>
      <c r="AA43" s="53" t="s">
        <v>1745</v>
      </c>
      <c r="AB43" s="54"/>
      <c r="AC43" s="56">
        <v>0</v>
      </c>
      <c r="AD43" s="53"/>
      <c r="AE43" s="55">
        <v>0</v>
      </c>
      <c r="AF43" s="55">
        <v>0</v>
      </c>
      <c r="AG43" s="55">
        <v>0</v>
      </c>
      <c r="AH43" s="78">
        <v>0</v>
      </c>
      <c r="AI43" s="76">
        <v>6.4020000000000001</v>
      </c>
      <c r="AJ43" s="53" t="s">
        <v>1746</v>
      </c>
      <c r="AK43" s="79">
        <v>1.9570000000000001</v>
      </c>
      <c r="AL43" s="79" t="s">
        <v>1747</v>
      </c>
      <c r="AM43" s="198"/>
      <c r="AN43" s="305"/>
      <c r="AO43" s="237"/>
      <c r="AP43" s="166">
        <v>81</v>
      </c>
      <c r="AQ43" s="167">
        <v>1298</v>
      </c>
      <c r="AR43" s="171" t="s">
        <v>1</v>
      </c>
      <c r="AS43" s="172" t="s">
        <v>1</v>
      </c>
      <c r="AT43" s="156"/>
    </row>
    <row r="44" spans="1:46" ht="21" x14ac:dyDescent="0.2">
      <c r="A44" s="23" t="s">
        <v>224</v>
      </c>
      <c r="B44" s="24" t="s">
        <v>225</v>
      </c>
      <c r="C44" s="90">
        <f>26.589-0.027</f>
        <v>26.561999999999998</v>
      </c>
      <c r="D44" s="422">
        <f t="shared" si="0"/>
        <v>26.561999999999998</v>
      </c>
      <c r="E44" s="422">
        <f t="shared" si="1"/>
        <v>0</v>
      </c>
      <c r="F44" s="25" t="s">
        <v>47</v>
      </c>
      <c r="G44" s="26" t="s">
        <v>226</v>
      </c>
      <c r="H44" s="188"/>
      <c r="I44" s="328"/>
      <c r="J44" s="250">
        <v>26.561999999999998</v>
      </c>
      <c r="K44" s="28" t="s">
        <v>227</v>
      </c>
      <c r="L44" s="46"/>
      <c r="M44" s="62"/>
      <c r="N44" s="62"/>
      <c r="O44" s="62"/>
      <c r="P44" s="62"/>
      <c r="Q44" s="62"/>
      <c r="R44" s="62"/>
      <c r="S44" s="62"/>
      <c r="T44" s="62"/>
      <c r="U44" s="62"/>
      <c r="V44" s="193"/>
      <c r="W44" s="199"/>
      <c r="X44" s="193"/>
      <c r="Y44" s="256"/>
      <c r="Z44" s="306"/>
      <c r="AA44" s="65"/>
      <c r="AB44" s="65"/>
      <c r="AC44" s="67"/>
      <c r="AD44" s="65"/>
      <c r="AE44" s="66"/>
      <c r="AF44" s="66"/>
      <c r="AG44" s="66"/>
      <c r="AH44" s="66"/>
      <c r="AI44" s="67"/>
      <c r="AJ44" s="67"/>
      <c r="AK44" s="217"/>
      <c r="AL44" s="217"/>
      <c r="AM44" s="198"/>
      <c r="AN44" s="305"/>
      <c r="AO44" s="237"/>
      <c r="AP44" s="166"/>
      <c r="AQ44" s="167">
        <v>177</v>
      </c>
      <c r="AR44" s="171" t="s">
        <v>1</v>
      </c>
      <c r="AS44" s="172" t="s">
        <v>1</v>
      </c>
      <c r="AT44" s="156"/>
    </row>
    <row r="45" spans="1:46" ht="63.75" x14ac:dyDescent="0.2">
      <c r="A45" s="367" t="s">
        <v>228</v>
      </c>
      <c r="B45" s="24" t="s">
        <v>229</v>
      </c>
      <c r="C45" s="90">
        <f>24.23-0.229</f>
        <v>24.001000000000001</v>
      </c>
      <c r="D45" s="422">
        <f t="shared" si="0"/>
        <v>24.001000000000001</v>
      </c>
      <c r="E45" s="422">
        <f t="shared" si="1"/>
        <v>0</v>
      </c>
      <c r="F45" s="25" t="s">
        <v>210</v>
      </c>
      <c r="G45" s="26" t="s">
        <v>230</v>
      </c>
      <c r="H45" s="188"/>
      <c r="I45" s="326"/>
      <c r="J45" s="487">
        <v>7.5809999999999995</v>
      </c>
      <c r="K45" s="488" t="s">
        <v>1748</v>
      </c>
      <c r="L45" s="41">
        <v>5.157</v>
      </c>
      <c r="M45" s="62" t="s">
        <v>1749</v>
      </c>
      <c r="N45" s="62">
        <v>9</v>
      </c>
      <c r="O45" s="62">
        <v>0</v>
      </c>
      <c r="P45" s="62">
        <v>0</v>
      </c>
      <c r="Q45" s="62">
        <v>0</v>
      </c>
      <c r="R45" s="62"/>
      <c r="S45" s="62"/>
      <c r="T45" s="62"/>
      <c r="U45" s="62"/>
      <c r="V45" s="193"/>
      <c r="W45" s="199"/>
      <c r="X45" s="193"/>
      <c r="Y45" s="199"/>
      <c r="Z45" s="77">
        <v>16.420000000000002</v>
      </c>
      <c r="AA45" s="53" t="s">
        <v>1750</v>
      </c>
      <c r="AB45" s="53"/>
      <c r="AC45" s="56">
        <v>5.2080000000000002</v>
      </c>
      <c r="AD45" s="53"/>
      <c r="AE45" s="55">
        <v>7</v>
      </c>
      <c r="AF45" s="55">
        <v>0</v>
      </c>
      <c r="AG45" s="55">
        <v>0</v>
      </c>
      <c r="AH45" s="55">
        <v>1</v>
      </c>
      <c r="AI45" s="56">
        <v>11.712000000000002</v>
      </c>
      <c r="AJ45" s="56"/>
      <c r="AK45" s="219">
        <v>0</v>
      </c>
      <c r="AL45" s="219">
        <v>0</v>
      </c>
      <c r="AM45" s="198"/>
      <c r="AN45" s="305"/>
      <c r="AO45" s="237"/>
      <c r="AP45" s="166">
        <v>18</v>
      </c>
      <c r="AQ45" s="167">
        <v>193</v>
      </c>
      <c r="AR45" s="171" t="s">
        <v>1</v>
      </c>
      <c r="AS45" s="172" t="s">
        <v>231</v>
      </c>
      <c r="AT45" s="156"/>
    </row>
    <row r="46" spans="1:46" ht="21" x14ac:dyDescent="0.2">
      <c r="A46" s="23" t="s">
        <v>232</v>
      </c>
      <c r="B46" s="24" t="s">
        <v>233</v>
      </c>
      <c r="C46" s="90">
        <f>49.117-0.234</f>
        <v>48.882999999999996</v>
      </c>
      <c r="D46" s="422">
        <f t="shared" si="0"/>
        <v>48.883000000000003</v>
      </c>
      <c r="E46" s="422">
        <f t="shared" si="1"/>
        <v>0</v>
      </c>
      <c r="F46" s="25" t="s">
        <v>210</v>
      </c>
      <c r="G46" s="26" t="s">
        <v>234</v>
      </c>
      <c r="H46" s="188"/>
      <c r="I46" s="326"/>
      <c r="J46" s="250">
        <v>48.883000000000003</v>
      </c>
      <c r="K46" s="29" t="s">
        <v>1785</v>
      </c>
      <c r="L46" s="29">
        <v>36.700000000000003</v>
      </c>
      <c r="M46" s="62" t="s">
        <v>235</v>
      </c>
      <c r="N46" s="62">
        <v>120</v>
      </c>
      <c r="O46" s="62">
        <v>0</v>
      </c>
      <c r="P46" s="62">
        <v>1</v>
      </c>
      <c r="Q46" s="62">
        <v>7</v>
      </c>
      <c r="R46" s="62">
        <f>0.4-0.234</f>
        <v>0.16600000000000001</v>
      </c>
      <c r="S46" s="62" t="s">
        <v>236</v>
      </c>
      <c r="T46" s="62"/>
      <c r="U46" s="62"/>
      <c r="V46" s="193"/>
      <c r="W46" s="199"/>
      <c r="X46" s="193"/>
      <c r="Y46" s="256"/>
      <c r="Z46" s="299"/>
      <c r="AA46" s="33"/>
      <c r="AB46" s="33"/>
      <c r="AC46" s="69"/>
      <c r="AD46" s="33"/>
      <c r="AE46" s="37"/>
      <c r="AF46" s="37"/>
      <c r="AG46" s="37"/>
      <c r="AH46" s="37"/>
      <c r="AI46" s="69"/>
      <c r="AJ46" s="69"/>
      <c r="AK46" s="214"/>
      <c r="AL46" s="214"/>
      <c r="AM46" s="198"/>
      <c r="AN46" s="305"/>
      <c r="AO46" s="237"/>
      <c r="AP46" s="166">
        <v>0</v>
      </c>
      <c r="AQ46" s="167">
        <v>0</v>
      </c>
      <c r="AR46" s="171" t="s">
        <v>60</v>
      </c>
      <c r="AS46" s="172" t="s">
        <v>1</v>
      </c>
      <c r="AT46" s="156"/>
    </row>
    <row r="47" spans="1:46" ht="42" x14ac:dyDescent="0.2">
      <c r="A47" s="23" t="s">
        <v>237</v>
      </c>
      <c r="B47" s="24" t="s">
        <v>238</v>
      </c>
      <c r="C47" s="90">
        <v>6.9059999999999997</v>
      </c>
      <c r="D47" s="422">
        <f t="shared" si="0"/>
        <v>6.9059999999999997</v>
      </c>
      <c r="E47" s="422">
        <f t="shared" si="1"/>
        <v>0</v>
      </c>
      <c r="F47" s="25" t="s">
        <v>68</v>
      </c>
      <c r="G47" s="26" t="s">
        <v>239</v>
      </c>
      <c r="H47" s="188"/>
      <c r="I47" s="326"/>
      <c r="J47" s="250"/>
      <c r="K47" s="29"/>
      <c r="L47" s="29"/>
      <c r="M47" s="62"/>
      <c r="N47" s="62"/>
      <c r="O47" s="62"/>
      <c r="P47" s="62"/>
      <c r="Q47" s="62"/>
      <c r="R47" s="62"/>
      <c r="S47" s="62"/>
      <c r="T47" s="62"/>
      <c r="U47" s="62"/>
      <c r="V47" s="193"/>
      <c r="W47" s="199"/>
      <c r="X47" s="193"/>
      <c r="Y47" s="256"/>
      <c r="Z47" s="309">
        <v>6.9059999999999997</v>
      </c>
      <c r="AA47" s="76"/>
      <c r="AB47" s="76"/>
      <c r="AC47" s="79"/>
      <c r="AD47" s="76"/>
      <c r="AE47" s="78"/>
      <c r="AF47" s="78"/>
      <c r="AG47" s="78"/>
      <c r="AH47" s="78"/>
      <c r="AI47" s="79">
        <v>6.9059999999999997</v>
      </c>
      <c r="AJ47" s="79"/>
      <c r="AK47" s="219"/>
      <c r="AL47" s="214"/>
      <c r="AM47" s="198"/>
      <c r="AN47" s="305"/>
      <c r="AO47" s="237"/>
      <c r="AP47" s="166">
        <v>0</v>
      </c>
      <c r="AQ47" s="167">
        <v>49</v>
      </c>
      <c r="AR47" s="171" t="s">
        <v>1</v>
      </c>
      <c r="AS47" s="172" t="s">
        <v>1</v>
      </c>
    </row>
    <row r="48" spans="1:46" ht="21" x14ac:dyDescent="0.2">
      <c r="A48" s="367" t="s">
        <v>241</v>
      </c>
      <c r="B48" s="24" t="s">
        <v>242</v>
      </c>
      <c r="C48" s="90">
        <f>2.624-0.246</f>
        <v>2.3780000000000001</v>
      </c>
      <c r="D48" s="422">
        <f t="shared" si="0"/>
        <v>2.3780000000000001</v>
      </c>
      <c r="E48" s="422">
        <f t="shared" si="1"/>
        <v>0</v>
      </c>
      <c r="F48" s="25" t="s">
        <v>210</v>
      </c>
      <c r="G48" s="26" t="s">
        <v>243</v>
      </c>
      <c r="H48" s="188"/>
      <c r="I48" s="327" t="s">
        <v>242</v>
      </c>
      <c r="J48" s="250">
        <v>2.3780000000000001</v>
      </c>
      <c r="K48" s="29" t="s">
        <v>244</v>
      </c>
      <c r="L48" s="62">
        <v>0</v>
      </c>
      <c r="M48" s="62">
        <v>0</v>
      </c>
      <c r="N48" s="63">
        <v>0</v>
      </c>
      <c r="O48" s="63">
        <v>0</v>
      </c>
      <c r="P48" s="63">
        <v>0</v>
      </c>
      <c r="Q48" s="63">
        <v>0</v>
      </c>
      <c r="R48" s="62">
        <v>1.1890000000000001</v>
      </c>
      <c r="S48" s="62"/>
      <c r="T48" s="63"/>
      <c r="U48" s="63"/>
      <c r="V48" s="193"/>
      <c r="W48" s="199"/>
      <c r="X48" s="193"/>
      <c r="Y48" s="256"/>
      <c r="Z48" s="299"/>
      <c r="AA48" s="33"/>
      <c r="AB48" s="33"/>
      <c r="AC48" s="69"/>
      <c r="AD48" s="33"/>
      <c r="AE48" s="37"/>
      <c r="AF48" s="37"/>
      <c r="AG48" s="37"/>
      <c r="AH48" s="37"/>
      <c r="AI48" s="69"/>
      <c r="AJ48" s="69"/>
      <c r="AK48" s="214"/>
      <c r="AL48" s="214"/>
      <c r="AM48" s="198"/>
      <c r="AN48" s="305"/>
      <c r="AO48" s="237"/>
      <c r="AP48" s="166">
        <v>0</v>
      </c>
      <c r="AQ48" s="167">
        <v>9</v>
      </c>
      <c r="AR48" s="171" t="s">
        <v>1</v>
      </c>
      <c r="AS48" s="172" t="s">
        <v>1</v>
      </c>
      <c r="AT48" s="156"/>
    </row>
    <row r="49" spans="1:46" ht="114.75" x14ac:dyDescent="0.2">
      <c r="A49" s="23" t="s">
        <v>245</v>
      </c>
      <c r="B49" s="24" t="s">
        <v>246</v>
      </c>
      <c r="C49" s="90">
        <f>69.981-0.455</f>
        <v>69.525999999999996</v>
      </c>
      <c r="D49" s="422">
        <f t="shared" si="0"/>
        <v>69.525999999999982</v>
      </c>
      <c r="E49" s="422">
        <f t="shared" si="1"/>
        <v>0</v>
      </c>
      <c r="F49" s="25" t="s">
        <v>210</v>
      </c>
      <c r="G49" s="26" t="s">
        <v>247</v>
      </c>
      <c r="H49" s="188"/>
      <c r="I49" s="326"/>
      <c r="J49" s="487">
        <v>14.981999999999987</v>
      </c>
      <c r="K49" s="488" t="s">
        <v>1751</v>
      </c>
      <c r="L49" s="62">
        <v>0</v>
      </c>
      <c r="M49" s="62">
        <v>0</v>
      </c>
      <c r="N49" s="63">
        <v>0</v>
      </c>
      <c r="O49" s="63">
        <v>0</v>
      </c>
      <c r="P49" s="63">
        <v>0</v>
      </c>
      <c r="Q49" s="63">
        <v>0</v>
      </c>
      <c r="R49" s="62">
        <v>7.4909999999999934</v>
      </c>
      <c r="S49" s="62"/>
      <c r="T49" s="63"/>
      <c r="U49" s="63"/>
      <c r="V49" s="193"/>
      <c r="W49" s="199"/>
      <c r="X49" s="193"/>
      <c r="Y49" s="199"/>
      <c r="Z49" s="77">
        <v>54.543999999999997</v>
      </c>
      <c r="AA49" s="472" t="s">
        <v>1752</v>
      </c>
      <c r="AB49" s="77"/>
      <c r="AC49" s="74">
        <v>0</v>
      </c>
      <c r="AD49" s="72"/>
      <c r="AE49" s="55">
        <v>0</v>
      </c>
      <c r="AF49" s="55">
        <v>0</v>
      </c>
      <c r="AG49" s="55">
        <v>0</v>
      </c>
      <c r="AH49" s="55">
        <v>0</v>
      </c>
      <c r="AI49" s="74">
        <v>54.543999999999997</v>
      </c>
      <c r="AJ49" s="74"/>
      <c r="AK49" s="74">
        <v>1.4</v>
      </c>
      <c r="AL49" s="74" t="s">
        <v>1753</v>
      </c>
      <c r="AM49" s="198"/>
      <c r="AN49" s="305"/>
      <c r="AO49" s="238"/>
      <c r="AP49" s="166">
        <v>0</v>
      </c>
      <c r="AQ49" s="167">
        <v>546</v>
      </c>
      <c r="AR49" s="171" t="s">
        <v>1</v>
      </c>
      <c r="AS49" s="172" t="s">
        <v>1</v>
      </c>
      <c r="AT49" s="156"/>
    </row>
    <row r="50" spans="1:46" ht="31.5" x14ac:dyDescent="0.2">
      <c r="A50" s="367" t="s">
        <v>248</v>
      </c>
      <c r="B50" s="24" t="s">
        <v>249</v>
      </c>
      <c r="C50" s="90">
        <f>21.582-0.629</f>
        <v>20.952999999999999</v>
      </c>
      <c r="D50" s="422">
        <f t="shared" si="0"/>
        <v>20.952999999999999</v>
      </c>
      <c r="E50" s="422">
        <f t="shared" si="1"/>
        <v>0</v>
      </c>
      <c r="F50" s="25" t="s">
        <v>210</v>
      </c>
      <c r="G50" s="26" t="s">
        <v>250</v>
      </c>
      <c r="H50" s="188"/>
      <c r="I50" s="326"/>
      <c r="J50" s="252">
        <v>5.86</v>
      </c>
      <c r="K50" s="75" t="s">
        <v>251</v>
      </c>
      <c r="L50" s="62">
        <v>0</v>
      </c>
      <c r="M50" s="62">
        <v>0</v>
      </c>
      <c r="N50" s="63">
        <v>0</v>
      </c>
      <c r="O50" s="63">
        <v>0</v>
      </c>
      <c r="P50" s="63">
        <v>0</v>
      </c>
      <c r="Q50" s="63">
        <v>0</v>
      </c>
      <c r="R50" s="62">
        <v>20.952999999999999</v>
      </c>
      <c r="S50" s="62" t="s">
        <v>252</v>
      </c>
      <c r="T50" s="62"/>
      <c r="U50" s="62"/>
      <c r="V50" s="193"/>
      <c r="W50" s="199"/>
      <c r="X50" s="193"/>
      <c r="Y50" s="256"/>
      <c r="Z50" s="301">
        <v>15.093</v>
      </c>
      <c r="AA50" s="77" t="s">
        <v>253</v>
      </c>
      <c r="AB50" s="53"/>
      <c r="AC50" s="79">
        <v>0</v>
      </c>
      <c r="AD50" s="77"/>
      <c r="AE50" s="55">
        <v>0</v>
      </c>
      <c r="AF50" s="55">
        <v>0</v>
      </c>
      <c r="AG50" s="55">
        <v>0</v>
      </c>
      <c r="AH50" s="55">
        <v>0</v>
      </c>
      <c r="AI50" s="79">
        <v>15.093</v>
      </c>
      <c r="AJ50" s="79"/>
      <c r="AK50" s="79">
        <v>0</v>
      </c>
      <c r="AL50" s="79">
        <v>0</v>
      </c>
      <c r="AM50" s="198"/>
      <c r="AN50" s="305"/>
      <c r="AO50" s="239"/>
      <c r="AP50" s="166">
        <v>0</v>
      </c>
      <c r="AQ50" s="167">
        <v>0</v>
      </c>
      <c r="AR50" s="168" t="s">
        <v>60</v>
      </c>
      <c r="AS50" s="169" t="s">
        <v>254</v>
      </c>
      <c r="AT50" s="156"/>
    </row>
    <row r="51" spans="1:46" ht="21" x14ac:dyDescent="0.2">
      <c r="A51" s="367" t="s">
        <v>255</v>
      </c>
      <c r="B51" s="24" t="s">
        <v>256</v>
      </c>
      <c r="C51" s="90">
        <f>13.785-0.471</f>
        <v>13.314</v>
      </c>
      <c r="D51" s="422">
        <f t="shared" si="0"/>
        <v>13.314</v>
      </c>
      <c r="E51" s="422">
        <f t="shared" si="1"/>
        <v>0</v>
      </c>
      <c r="F51" s="25" t="s">
        <v>210</v>
      </c>
      <c r="G51" s="26" t="s">
        <v>257</v>
      </c>
      <c r="H51" s="188"/>
      <c r="I51" s="326"/>
      <c r="J51" s="490">
        <v>0</v>
      </c>
      <c r="K51" s="491"/>
      <c r="L51" s="491"/>
      <c r="M51" s="492"/>
      <c r="N51" s="492"/>
      <c r="O51" s="492"/>
      <c r="P51" s="492"/>
      <c r="Q51" s="492"/>
      <c r="R51" s="492"/>
      <c r="S51" s="492"/>
      <c r="T51" s="492"/>
      <c r="U51" s="492"/>
      <c r="V51" s="193"/>
      <c r="W51" s="199"/>
      <c r="X51" s="193"/>
      <c r="Y51" s="256"/>
      <c r="Z51" s="302">
        <v>13.314</v>
      </c>
      <c r="AA51" s="59" t="s">
        <v>258</v>
      </c>
      <c r="AB51" s="59">
        <v>0</v>
      </c>
      <c r="AC51" s="61">
        <v>13.6</v>
      </c>
      <c r="AD51" s="368" t="s">
        <v>259</v>
      </c>
      <c r="AE51" s="368">
        <v>93</v>
      </c>
      <c r="AF51" s="368">
        <v>0</v>
      </c>
      <c r="AG51" s="368">
        <v>10</v>
      </c>
      <c r="AH51" s="368">
        <v>0</v>
      </c>
      <c r="AI51" s="368">
        <v>0</v>
      </c>
      <c r="AJ51" s="77">
        <v>0</v>
      </c>
      <c r="AK51" s="77">
        <v>0</v>
      </c>
      <c r="AL51" s="77">
        <v>0</v>
      </c>
      <c r="AM51" s="198"/>
      <c r="AN51" s="305"/>
      <c r="AO51" s="239"/>
      <c r="AP51" s="166">
        <v>0</v>
      </c>
      <c r="AQ51" s="167">
        <v>0</v>
      </c>
      <c r="AR51" s="168" t="s">
        <v>60</v>
      </c>
      <c r="AS51" s="169" t="s">
        <v>254</v>
      </c>
      <c r="AT51" s="156"/>
    </row>
    <row r="52" spans="1:46" ht="21" x14ac:dyDescent="0.2">
      <c r="A52" s="367" t="s">
        <v>260</v>
      </c>
      <c r="B52" s="24" t="s">
        <v>261</v>
      </c>
      <c r="C52" s="90">
        <v>83.613</v>
      </c>
      <c r="D52" s="422">
        <f t="shared" si="0"/>
        <v>83.613</v>
      </c>
      <c r="E52" s="422">
        <f t="shared" si="1"/>
        <v>0</v>
      </c>
      <c r="F52" s="25" t="s">
        <v>210</v>
      </c>
      <c r="G52" s="26" t="s">
        <v>262</v>
      </c>
      <c r="H52" s="188"/>
      <c r="I52" s="326"/>
      <c r="J52" s="250">
        <v>83.613</v>
      </c>
      <c r="K52" s="40" t="s">
        <v>263</v>
      </c>
      <c r="L52" s="40">
        <v>61.9</v>
      </c>
      <c r="M52" s="62" t="s">
        <v>264</v>
      </c>
      <c r="N52" s="62">
        <v>303</v>
      </c>
      <c r="O52" s="62">
        <v>0</v>
      </c>
      <c r="P52" s="62">
        <v>13</v>
      </c>
      <c r="Q52" s="62">
        <v>72</v>
      </c>
      <c r="R52" s="62">
        <v>0.3</v>
      </c>
      <c r="S52" s="62" t="s">
        <v>265</v>
      </c>
      <c r="T52" s="62"/>
      <c r="U52" s="62"/>
      <c r="V52" s="193"/>
      <c r="W52" s="199"/>
      <c r="X52" s="193"/>
      <c r="Y52" s="256"/>
      <c r="Z52" s="299"/>
      <c r="AA52" s="33"/>
      <c r="AB52" s="33"/>
      <c r="AC52" s="69"/>
      <c r="AD52" s="33"/>
      <c r="AE52" s="37"/>
      <c r="AF52" s="37"/>
      <c r="AG52" s="37"/>
      <c r="AH52" s="37"/>
      <c r="AI52" s="69"/>
      <c r="AJ52" s="69"/>
      <c r="AK52" s="214"/>
      <c r="AL52" s="214"/>
      <c r="AM52" s="198"/>
      <c r="AN52" s="305"/>
      <c r="AO52" s="239"/>
      <c r="AP52" s="166">
        <v>0</v>
      </c>
      <c r="AQ52" s="167">
        <v>0</v>
      </c>
      <c r="AR52" s="168" t="s">
        <v>60</v>
      </c>
      <c r="AS52" s="169" t="s">
        <v>33</v>
      </c>
      <c r="AT52" s="156"/>
    </row>
    <row r="53" spans="1:46" ht="42" x14ac:dyDescent="0.2">
      <c r="A53" s="23" t="s">
        <v>266</v>
      </c>
      <c r="B53" s="24" t="s">
        <v>267</v>
      </c>
      <c r="C53" s="90">
        <f>40.569-1.073</f>
        <v>39.496000000000002</v>
      </c>
      <c r="D53" s="422">
        <f t="shared" si="0"/>
        <v>39.496000000000002</v>
      </c>
      <c r="E53" s="422">
        <f t="shared" si="1"/>
        <v>0</v>
      </c>
      <c r="F53" s="25" t="s">
        <v>47</v>
      </c>
      <c r="G53" s="26" t="s">
        <v>268</v>
      </c>
      <c r="H53" s="188"/>
      <c r="I53" s="326"/>
      <c r="J53" s="250">
        <v>39.496000000000002</v>
      </c>
      <c r="K53" s="57" t="s">
        <v>269</v>
      </c>
      <c r="L53" s="57"/>
      <c r="M53" s="62"/>
      <c r="N53" s="62"/>
      <c r="O53" s="62"/>
      <c r="P53" s="62"/>
      <c r="Q53" s="62"/>
      <c r="R53" s="62"/>
      <c r="S53" s="62"/>
      <c r="T53" s="62"/>
      <c r="U53" s="62"/>
      <c r="V53" s="193"/>
      <c r="W53" s="199"/>
      <c r="X53" s="193"/>
      <c r="Y53" s="256"/>
      <c r="Z53" s="299"/>
      <c r="AA53" s="33"/>
      <c r="AB53" s="33"/>
      <c r="AC53" s="69"/>
      <c r="AD53" s="33"/>
      <c r="AE53" s="37"/>
      <c r="AF53" s="37"/>
      <c r="AG53" s="37"/>
      <c r="AH53" s="37"/>
      <c r="AI53" s="69"/>
      <c r="AJ53" s="69"/>
      <c r="AK53" s="214"/>
      <c r="AL53" s="214"/>
      <c r="AM53" s="198"/>
      <c r="AN53" s="305"/>
      <c r="AO53" s="239"/>
      <c r="AP53" s="166">
        <v>0</v>
      </c>
      <c r="AQ53" s="167">
        <v>302</v>
      </c>
      <c r="AR53" s="171" t="s">
        <v>1</v>
      </c>
      <c r="AS53" s="172" t="s">
        <v>1</v>
      </c>
      <c r="AT53" s="156"/>
    </row>
    <row r="54" spans="1:46" ht="31.5" x14ac:dyDescent="0.2">
      <c r="A54" s="23" t="s">
        <v>270</v>
      </c>
      <c r="B54" s="498" t="s">
        <v>271</v>
      </c>
      <c r="C54" s="499">
        <f>203.39-137.806</f>
        <v>65.583999999999975</v>
      </c>
      <c r="D54" s="497">
        <f t="shared" si="0"/>
        <v>65.583999999999975</v>
      </c>
      <c r="E54" s="497">
        <f t="shared" si="1"/>
        <v>0</v>
      </c>
      <c r="F54" s="25" t="s">
        <v>42</v>
      </c>
      <c r="G54" s="38" t="s">
        <v>272</v>
      </c>
      <c r="H54" s="188"/>
      <c r="I54" s="328" t="s">
        <v>273</v>
      </c>
      <c r="J54" s="250">
        <v>65.583999999999975</v>
      </c>
      <c r="K54" s="40" t="s">
        <v>274</v>
      </c>
      <c r="L54" s="40"/>
      <c r="M54" s="62"/>
      <c r="N54" s="62"/>
      <c r="O54" s="62"/>
      <c r="P54" s="62"/>
      <c r="Q54" s="62"/>
      <c r="R54" s="62">
        <v>33</v>
      </c>
      <c r="S54" s="62"/>
      <c r="T54" s="62"/>
      <c r="U54" s="62"/>
      <c r="V54" s="250">
        <v>65.583999999999975</v>
      </c>
      <c r="W54" s="40" t="s">
        <v>274</v>
      </c>
      <c r="X54" s="193"/>
      <c r="Y54" s="256"/>
      <c r="Z54" s="306"/>
      <c r="AA54" s="82"/>
      <c r="AB54" s="82"/>
      <c r="AC54" s="51"/>
      <c r="AD54" s="82"/>
      <c r="AE54" s="50"/>
      <c r="AF54" s="50"/>
      <c r="AG54" s="50"/>
      <c r="AH54" s="50"/>
      <c r="AI54" s="51"/>
      <c r="AJ54" s="51"/>
      <c r="AK54" s="217"/>
      <c r="AL54" s="217"/>
      <c r="AM54" s="198"/>
      <c r="AN54" s="305"/>
      <c r="AO54" s="239"/>
      <c r="AP54" s="166">
        <v>0</v>
      </c>
      <c r="AQ54" s="167">
        <v>423</v>
      </c>
      <c r="AR54" s="171" t="s">
        <v>1</v>
      </c>
      <c r="AS54" s="172" t="s">
        <v>1</v>
      </c>
      <c r="AT54" s="156"/>
    </row>
    <row r="55" spans="1:46" ht="31.5" x14ac:dyDescent="0.2">
      <c r="A55" s="23" t="s">
        <v>275</v>
      </c>
      <c r="B55" s="24" t="s">
        <v>276</v>
      </c>
      <c r="C55" s="90">
        <v>1.0620000000000001</v>
      </c>
      <c r="D55" s="422">
        <f t="shared" si="0"/>
        <v>1.0620000000000001</v>
      </c>
      <c r="E55" s="422">
        <f t="shared" si="1"/>
        <v>0</v>
      </c>
      <c r="F55" s="25" t="s">
        <v>36</v>
      </c>
      <c r="G55" s="26" t="s">
        <v>277</v>
      </c>
      <c r="H55" s="188"/>
      <c r="I55" s="326" t="s">
        <v>276</v>
      </c>
      <c r="J55" s="250">
        <v>0.45</v>
      </c>
      <c r="K55" s="29" t="s">
        <v>278</v>
      </c>
      <c r="L55" s="29"/>
      <c r="M55" s="62"/>
      <c r="N55" s="62"/>
      <c r="O55" s="62"/>
      <c r="P55" s="62"/>
      <c r="Q55" s="62"/>
      <c r="R55" s="62"/>
      <c r="S55" s="62"/>
      <c r="T55" s="62"/>
      <c r="U55" s="62"/>
      <c r="V55" s="250">
        <v>0.45</v>
      </c>
      <c r="W55" s="29" t="s">
        <v>278</v>
      </c>
      <c r="X55" s="193"/>
      <c r="Y55" s="256"/>
      <c r="Z55" s="301">
        <v>0.61199999999999999</v>
      </c>
      <c r="AA55" s="76" t="s">
        <v>279</v>
      </c>
      <c r="AB55" s="76">
        <f>Z55</f>
        <v>0.61199999999999999</v>
      </c>
      <c r="AC55" s="79"/>
      <c r="AD55" s="76"/>
      <c r="AE55" s="78"/>
      <c r="AF55" s="78"/>
      <c r="AG55" s="78"/>
      <c r="AH55" s="78"/>
      <c r="AI55" s="79"/>
      <c r="AJ55" s="79"/>
      <c r="AK55" s="219"/>
      <c r="AL55" s="219"/>
      <c r="AM55" s="198"/>
      <c r="AN55" s="305"/>
      <c r="AO55" s="239"/>
      <c r="AP55" s="166">
        <v>0</v>
      </c>
      <c r="AQ55" s="167">
        <v>4</v>
      </c>
      <c r="AR55" s="171" t="s">
        <v>1</v>
      </c>
      <c r="AS55" s="172" t="s">
        <v>1</v>
      </c>
      <c r="AT55" s="156"/>
    </row>
    <row r="56" spans="1:46" ht="21" x14ac:dyDescent="0.2">
      <c r="A56" s="23" t="s">
        <v>280</v>
      </c>
      <c r="B56" s="24" t="s">
        <v>281</v>
      </c>
      <c r="C56" s="90">
        <f>38.558-1.354</f>
        <v>37.204000000000001</v>
      </c>
      <c r="D56" s="422">
        <f t="shared" si="0"/>
        <v>37.204000000000001</v>
      </c>
      <c r="E56" s="422">
        <f t="shared" si="1"/>
        <v>0</v>
      </c>
      <c r="F56" s="25" t="s">
        <v>93</v>
      </c>
      <c r="G56" s="26" t="s">
        <v>282</v>
      </c>
      <c r="H56" s="188"/>
      <c r="I56" s="326"/>
      <c r="J56" s="250">
        <v>37.204000000000001</v>
      </c>
      <c r="K56" s="40" t="s">
        <v>283</v>
      </c>
      <c r="L56" s="40"/>
      <c r="M56" s="62"/>
      <c r="N56" s="62"/>
      <c r="O56" s="62"/>
      <c r="P56" s="62"/>
      <c r="Q56" s="62"/>
      <c r="R56" s="62"/>
      <c r="S56" s="62"/>
      <c r="T56" s="62"/>
      <c r="U56" s="62"/>
      <c r="V56" s="193"/>
      <c r="W56" s="199"/>
      <c r="X56" s="193"/>
      <c r="Y56" s="256"/>
      <c r="Z56" s="307"/>
      <c r="AA56" s="33"/>
      <c r="AB56" s="33"/>
      <c r="AC56" s="69"/>
      <c r="AD56" s="33"/>
      <c r="AE56" s="37"/>
      <c r="AF56" s="37"/>
      <c r="AG56" s="37"/>
      <c r="AH56" s="37"/>
      <c r="AI56" s="69"/>
      <c r="AJ56" s="69"/>
      <c r="AK56" s="214"/>
      <c r="AL56" s="214"/>
      <c r="AM56" s="198"/>
      <c r="AN56" s="305"/>
      <c r="AO56" s="239"/>
      <c r="AP56" s="166">
        <v>6</v>
      </c>
      <c r="AQ56" s="167">
        <v>235</v>
      </c>
      <c r="AR56" s="171" t="s">
        <v>1</v>
      </c>
      <c r="AS56" s="172" t="s">
        <v>1</v>
      </c>
      <c r="AT56" s="156"/>
    </row>
    <row r="57" spans="1:46" ht="42" x14ac:dyDescent="0.2">
      <c r="A57" s="23" t="s">
        <v>284</v>
      </c>
      <c r="B57" s="24" t="s">
        <v>285</v>
      </c>
      <c r="C57" s="90">
        <f>87.273-28.149</f>
        <v>59.123999999999995</v>
      </c>
      <c r="D57" s="422">
        <f t="shared" si="0"/>
        <v>59.123999999999995</v>
      </c>
      <c r="E57" s="422">
        <f t="shared" si="1"/>
        <v>0</v>
      </c>
      <c r="F57" s="25" t="s">
        <v>47</v>
      </c>
      <c r="G57" s="26" t="s">
        <v>286</v>
      </c>
      <c r="H57" s="188"/>
      <c r="I57" s="326"/>
      <c r="J57" s="250">
        <v>59.123999999999995</v>
      </c>
      <c r="K57" s="28" t="s">
        <v>287</v>
      </c>
      <c r="L57" s="28"/>
      <c r="M57" s="62"/>
      <c r="N57" s="62"/>
      <c r="O57" s="62"/>
      <c r="P57" s="62"/>
      <c r="Q57" s="62"/>
      <c r="R57" s="62"/>
      <c r="S57" s="62"/>
      <c r="T57" s="62"/>
      <c r="U57" s="62"/>
      <c r="V57" s="193"/>
      <c r="W57" s="199"/>
      <c r="X57" s="193"/>
      <c r="Y57" s="256"/>
      <c r="Z57" s="299"/>
      <c r="AA57" s="33"/>
      <c r="AB57" s="33"/>
      <c r="AC57" s="69"/>
      <c r="AD57" s="33"/>
      <c r="AE57" s="37"/>
      <c r="AF57" s="37"/>
      <c r="AG57" s="37"/>
      <c r="AH57" s="37"/>
      <c r="AI57" s="69"/>
      <c r="AJ57" s="69"/>
      <c r="AK57" s="214"/>
      <c r="AL57" s="214"/>
      <c r="AM57" s="198"/>
      <c r="AN57" s="305"/>
      <c r="AO57" s="239"/>
      <c r="AP57" s="166">
        <v>0</v>
      </c>
      <c r="AQ57" s="167">
        <v>415</v>
      </c>
      <c r="AR57" s="171" t="s">
        <v>1</v>
      </c>
      <c r="AS57" s="172" t="s">
        <v>1</v>
      </c>
      <c r="AT57" s="156"/>
    </row>
    <row r="58" spans="1:46" ht="21" x14ac:dyDescent="0.2">
      <c r="A58" s="23" t="s">
        <v>288</v>
      </c>
      <c r="B58" s="24" t="s">
        <v>289</v>
      </c>
      <c r="C58" s="90">
        <v>16.623000000000001</v>
      </c>
      <c r="D58" s="422">
        <f t="shared" si="0"/>
        <v>16.623000000000001</v>
      </c>
      <c r="E58" s="422">
        <f t="shared" si="1"/>
        <v>0</v>
      </c>
      <c r="F58" s="25" t="s">
        <v>47</v>
      </c>
      <c r="G58" s="26" t="s">
        <v>290</v>
      </c>
      <c r="H58" s="188"/>
      <c r="I58" s="326"/>
      <c r="J58" s="250">
        <v>16.623000000000001</v>
      </c>
      <c r="K58" s="28" t="s">
        <v>291</v>
      </c>
      <c r="L58" s="28"/>
      <c r="M58" s="62"/>
      <c r="N58" s="62"/>
      <c r="O58" s="62"/>
      <c r="P58" s="62"/>
      <c r="Q58" s="62"/>
      <c r="R58" s="62"/>
      <c r="S58" s="62"/>
      <c r="T58" s="62"/>
      <c r="U58" s="62"/>
      <c r="V58" s="193"/>
      <c r="W58" s="199"/>
      <c r="X58" s="193"/>
      <c r="Y58" s="256"/>
      <c r="Z58" s="299"/>
      <c r="AA58" s="33"/>
      <c r="AB58" s="33"/>
      <c r="AC58" s="69"/>
      <c r="AD58" s="33"/>
      <c r="AE58" s="37"/>
      <c r="AF58" s="37"/>
      <c r="AG58" s="37"/>
      <c r="AH58" s="37"/>
      <c r="AI58" s="69"/>
      <c r="AJ58" s="69"/>
      <c r="AK58" s="214"/>
      <c r="AL58" s="214"/>
      <c r="AM58" s="198"/>
      <c r="AN58" s="305"/>
      <c r="AO58" s="239"/>
      <c r="AP58" s="166">
        <v>0</v>
      </c>
      <c r="AQ58" s="167">
        <v>115</v>
      </c>
      <c r="AR58" s="171" t="s">
        <v>1</v>
      </c>
      <c r="AS58" s="172" t="s">
        <v>1</v>
      </c>
      <c r="AT58" s="156"/>
    </row>
    <row r="59" spans="1:46" ht="31.5" x14ac:dyDescent="0.2">
      <c r="A59" s="23" t="s">
        <v>292</v>
      </c>
      <c r="B59" s="24" t="s">
        <v>293</v>
      </c>
      <c r="C59" s="90">
        <f>32.376-0.038</f>
        <v>32.338000000000001</v>
      </c>
      <c r="D59" s="422">
        <f t="shared" si="0"/>
        <v>32.338000000000001</v>
      </c>
      <c r="E59" s="422">
        <f t="shared" si="1"/>
        <v>0</v>
      </c>
      <c r="F59" s="25" t="s">
        <v>36</v>
      </c>
      <c r="G59" s="26" t="s">
        <v>294</v>
      </c>
      <c r="H59" s="188"/>
      <c r="I59" s="328"/>
      <c r="J59" s="250">
        <v>32.338000000000001</v>
      </c>
      <c r="K59" s="29" t="s">
        <v>295</v>
      </c>
      <c r="L59" s="29"/>
      <c r="M59" s="62"/>
      <c r="N59" s="62"/>
      <c r="O59" s="62"/>
      <c r="P59" s="62"/>
      <c r="Q59" s="62"/>
      <c r="R59" s="62"/>
      <c r="S59" s="62"/>
      <c r="T59" s="62"/>
      <c r="U59" s="62"/>
      <c r="V59" s="250">
        <v>32.338000000000001</v>
      </c>
      <c r="W59" s="29" t="s">
        <v>295</v>
      </c>
      <c r="X59" s="193"/>
      <c r="Y59" s="256"/>
      <c r="Z59" s="306"/>
      <c r="AA59" s="82"/>
      <c r="AB59" s="82"/>
      <c r="AC59" s="51"/>
      <c r="AD59" s="82"/>
      <c r="AE59" s="50"/>
      <c r="AF59" s="50"/>
      <c r="AG59" s="50"/>
      <c r="AH59" s="50"/>
      <c r="AI59" s="51"/>
      <c r="AJ59" s="51"/>
      <c r="AK59" s="217"/>
      <c r="AL59" s="217"/>
      <c r="AM59" s="198"/>
      <c r="AN59" s="305"/>
      <c r="AO59" s="239"/>
      <c r="AP59" s="166">
        <v>0</v>
      </c>
      <c r="AQ59" s="167">
        <v>214</v>
      </c>
      <c r="AR59" s="171" t="s">
        <v>1</v>
      </c>
      <c r="AS59" s="172" t="s">
        <v>1</v>
      </c>
      <c r="AT59" s="156"/>
    </row>
    <row r="60" spans="1:46" ht="42" x14ac:dyDescent="0.2">
      <c r="A60" s="23" t="s">
        <v>296</v>
      </c>
      <c r="B60" s="24" t="s">
        <v>297</v>
      </c>
      <c r="C60" s="90">
        <f>17.779-8.825</f>
        <v>8.9540000000000006</v>
      </c>
      <c r="D60" s="422">
        <f t="shared" si="0"/>
        <v>8.9540000000000006</v>
      </c>
      <c r="E60" s="422">
        <f t="shared" si="1"/>
        <v>0</v>
      </c>
      <c r="F60" s="25" t="s">
        <v>36</v>
      </c>
      <c r="G60" s="26" t="s">
        <v>298</v>
      </c>
      <c r="H60" s="188"/>
      <c r="I60" s="326"/>
      <c r="J60" s="250">
        <v>8.9540000000000006</v>
      </c>
      <c r="K60" s="29" t="s">
        <v>299</v>
      </c>
      <c r="L60" s="29"/>
      <c r="M60" s="62"/>
      <c r="N60" s="62"/>
      <c r="O60" s="62"/>
      <c r="P60" s="62"/>
      <c r="Q60" s="62"/>
      <c r="R60" s="62"/>
      <c r="S60" s="62"/>
      <c r="T60" s="62"/>
      <c r="U60" s="62"/>
      <c r="V60" s="250">
        <v>8.9540000000000006</v>
      </c>
      <c r="W60" s="29" t="s">
        <v>299</v>
      </c>
      <c r="X60" s="193"/>
      <c r="Y60" s="256"/>
      <c r="Z60" s="299"/>
      <c r="AA60" s="33"/>
      <c r="AB60" s="33"/>
      <c r="AC60" s="69"/>
      <c r="AD60" s="33"/>
      <c r="AE60" s="37"/>
      <c r="AF60" s="37"/>
      <c r="AG60" s="37"/>
      <c r="AH60" s="37"/>
      <c r="AI60" s="69"/>
      <c r="AJ60" s="69"/>
      <c r="AK60" s="214"/>
      <c r="AL60" s="214"/>
      <c r="AM60" s="198"/>
      <c r="AN60" s="305"/>
      <c r="AO60" s="239"/>
      <c r="AP60" s="166">
        <v>0</v>
      </c>
      <c r="AQ60" s="167">
        <v>55</v>
      </c>
      <c r="AR60" s="171" t="s">
        <v>1</v>
      </c>
      <c r="AS60" s="172" t="s">
        <v>1</v>
      </c>
      <c r="AT60" s="156"/>
    </row>
    <row r="61" spans="1:46" ht="42" x14ac:dyDescent="0.2">
      <c r="A61" s="23" t="s">
        <v>300</v>
      </c>
      <c r="B61" s="24" t="s">
        <v>301</v>
      </c>
      <c r="C61" s="90">
        <f>10.789-0.265</f>
        <v>10.523999999999999</v>
      </c>
      <c r="D61" s="422">
        <f t="shared" si="0"/>
        <v>10.523999999999999</v>
      </c>
      <c r="E61" s="422">
        <f t="shared" si="1"/>
        <v>0</v>
      </c>
      <c r="F61" s="25" t="s">
        <v>36</v>
      </c>
      <c r="G61" s="26" t="s">
        <v>302</v>
      </c>
      <c r="H61" s="188"/>
      <c r="I61" s="328" t="s">
        <v>303</v>
      </c>
      <c r="J61" s="250">
        <v>10.523999999999999</v>
      </c>
      <c r="K61" s="29" t="s">
        <v>304</v>
      </c>
      <c r="L61" s="30"/>
      <c r="M61" s="62"/>
      <c r="N61" s="62"/>
      <c r="O61" s="62"/>
      <c r="P61" s="62"/>
      <c r="Q61" s="62"/>
      <c r="R61" s="62">
        <v>6</v>
      </c>
      <c r="S61" s="62"/>
      <c r="T61" s="62"/>
      <c r="U61" s="62"/>
      <c r="V61" s="250">
        <v>10.523999999999999</v>
      </c>
      <c r="W61" s="29" t="s">
        <v>304</v>
      </c>
      <c r="X61" s="193"/>
      <c r="Y61" s="256"/>
      <c r="Z61" s="306"/>
      <c r="AA61" s="65"/>
      <c r="AB61" s="65"/>
      <c r="AC61" s="67"/>
      <c r="AD61" s="65"/>
      <c r="AE61" s="66"/>
      <c r="AF61" s="66"/>
      <c r="AG61" s="66"/>
      <c r="AH61" s="66"/>
      <c r="AI61" s="67"/>
      <c r="AJ61" s="67"/>
      <c r="AK61" s="217"/>
      <c r="AL61" s="217"/>
      <c r="AM61" s="198"/>
      <c r="AN61" s="305"/>
      <c r="AO61" s="239"/>
      <c r="AP61" s="166">
        <v>0</v>
      </c>
      <c r="AQ61" s="167">
        <v>56</v>
      </c>
      <c r="AR61" s="171" t="s">
        <v>1</v>
      </c>
      <c r="AS61" s="172" t="s">
        <v>1</v>
      </c>
      <c r="AT61" s="156"/>
    </row>
    <row r="62" spans="1:46" ht="31.5" x14ac:dyDescent="0.2">
      <c r="A62" s="23" t="s">
        <v>305</v>
      </c>
      <c r="B62" s="498" t="s">
        <v>306</v>
      </c>
      <c r="C62" s="499">
        <v>216.40799999999999</v>
      </c>
      <c r="D62" s="497">
        <f t="shared" si="0"/>
        <v>1.0029999999999983</v>
      </c>
      <c r="E62" s="497">
        <f t="shared" si="1"/>
        <v>-215.405</v>
      </c>
      <c r="F62" s="25" t="s">
        <v>36</v>
      </c>
      <c r="G62" s="26" t="s">
        <v>307</v>
      </c>
      <c r="H62" s="188"/>
      <c r="I62" s="326"/>
      <c r="J62" s="250">
        <v>1.0029999999999983</v>
      </c>
      <c r="K62" s="40" t="s">
        <v>308</v>
      </c>
      <c r="L62" s="41"/>
      <c r="M62" s="62"/>
      <c r="N62" s="62"/>
      <c r="O62" s="62"/>
      <c r="P62" s="62"/>
      <c r="Q62" s="62"/>
      <c r="R62" s="62"/>
      <c r="S62" s="62"/>
      <c r="T62" s="62"/>
      <c r="U62" s="62"/>
      <c r="V62" s="250">
        <v>1.0029999999999983</v>
      </c>
      <c r="W62" s="40" t="s">
        <v>308</v>
      </c>
      <c r="X62" s="193"/>
      <c r="Y62" s="256"/>
      <c r="Z62" s="299"/>
      <c r="AA62" s="32"/>
      <c r="AB62" s="32"/>
      <c r="AC62" s="35"/>
      <c r="AD62" s="32"/>
      <c r="AE62" s="34"/>
      <c r="AF62" s="34"/>
      <c r="AG62" s="34"/>
      <c r="AH62" s="34"/>
      <c r="AI62" s="35"/>
      <c r="AJ62" s="35"/>
      <c r="AK62" s="214"/>
      <c r="AL62" s="214"/>
      <c r="AM62" s="198"/>
      <c r="AN62" s="305"/>
      <c r="AO62" s="239"/>
      <c r="AP62" s="166">
        <v>0</v>
      </c>
      <c r="AQ62" s="167">
        <v>2</v>
      </c>
      <c r="AR62" s="171" t="s">
        <v>1</v>
      </c>
      <c r="AS62" s="172" t="s">
        <v>1</v>
      </c>
      <c r="AT62" s="156"/>
    </row>
    <row r="63" spans="1:46" ht="42" x14ac:dyDescent="0.2">
      <c r="A63" s="23" t="s">
        <v>309</v>
      </c>
      <c r="B63" s="24" t="s">
        <v>310</v>
      </c>
      <c r="C63" s="90">
        <f>234.8-204.167</f>
        <v>30.63300000000001</v>
      </c>
      <c r="D63" s="422">
        <f t="shared" si="0"/>
        <v>30.63300000000001</v>
      </c>
      <c r="E63" s="422">
        <f t="shared" si="1"/>
        <v>0</v>
      </c>
      <c r="F63" s="25" t="s">
        <v>36</v>
      </c>
      <c r="G63" s="38" t="s">
        <v>311</v>
      </c>
      <c r="H63" s="188"/>
      <c r="I63" s="326" t="s">
        <v>312</v>
      </c>
      <c r="J63" s="250">
        <v>30.63300000000001</v>
      </c>
      <c r="K63" s="29" t="s">
        <v>312</v>
      </c>
      <c r="L63" s="30"/>
      <c r="M63" s="62"/>
      <c r="N63" s="62"/>
      <c r="O63" s="62"/>
      <c r="P63" s="62"/>
      <c r="Q63" s="62"/>
      <c r="R63" s="62"/>
      <c r="S63" s="62"/>
      <c r="T63" s="62"/>
      <c r="U63" s="62"/>
      <c r="V63" s="250">
        <v>30.63300000000001</v>
      </c>
      <c r="W63" s="29" t="s">
        <v>312</v>
      </c>
      <c r="X63" s="193"/>
      <c r="Y63" s="256"/>
      <c r="Z63" s="299"/>
      <c r="AA63" s="32"/>
      <c r="AB63" s="32"/>
      <c r="AC63" s="35"/>
      <c r="AD63" s="32"/>
      <c r="AE63" s="34"/>
      <c r="AF63" s="34"/>
      <c r="AG63" s="34"/>
      <c r="AH63" s="34"/>
      <c r="AI63" s="35"/>
      <c r="AJ63" s="35"/>
      <c r="AK63" s="214"/>
      <c r="AL63" s="214"/>
      <c r="AM63" s="198"/>
      <c r="AN63" s="305"/>
      <c r="AO63" s="239"/>
      <c r="AP63" s="166">
        <v>0</v>
      </c>
      <c r="AQ63" s="167">
        <v>192</v>
      </c>
      <c r="AR63" s="171" t="s">
        <v>1</v>
      </c>
      <c r="AS63" s="172" t="s">
        <v>1</v>
      </c>
      <c r="AT63" s="156"/>
    </row>
    <row r="64" spans="1:46" ht="42" x14ac:dyDescent="0.2">
      <c r="A64" s="23" t="s">
        <v>313</v>
      </c>
      <c r="B64" s="498" t="s">
        <v>314</v>
      </c>
      <c r="C64" s="499">
        <f>45.574-0.507</f>
        <v>45.067</v>
      </c>
      <c r="D64" s="497">
        <f t="shared" si="0"/>
        <v>46.783999999999999</v>
      </c>
      <c r="E64" s="497">
        <f t="shared" si="1"/>
        <v>1.7169999999999987</v>
      </c>
      <c r="F64" s="25" t="s">
        <v>36</v>
      </c>
      <c r="G64" s="38" t="s">
        <v>315</v>
      </c>
      <c r="H64" s="188"/>
      <c r="I64" s="326" t="s">
        <v>314</v>
      </c>
      <c r="J64" s="250">
        <v>46.783999999999999</v>
      </c>
      <c r="K64" s="29" t="s">
        <v>1803</v>
      </c>
      <c r="L64" s="30"/>
      <c r="M64" s="62"/>
      <c r="N64" s="62"/>
      <c r="O64" s="62"/>
      <c r="P64" s="62"/>
      <c r="Q64" s="62"/>
      <c r="R64" s="62"/>
      <c r="S64" s="62"/>
      <c r="T64" s="62"/>
      <c r="U64" s="62"/>
      <c r="V64" s="250">
        <v>46.783999999999999</v>
      </c>
      <c r="W64" s="29" t="s">
        <v>1803</v>
      </c>
      <c r="X64" s="193"/>
      <c r="Y64" s="256"/>
      <c r="Z64" s="299"/>
      <c r="AA64" s="32"/>
      <c r="AB64" s="32"/>
      <c r="AC64" s="35"/>
      <c r="AD64" s="32"/>
      <c r="AE64" s="34"/>
      <c r="AF64" s="34"/>
      <c r="AG64" s="34"/>
      <c r="AH64" s="34"/>
      <c r="AI64" s="35"/>
      <c r="AJ64" s="35"/>
      <c r="AK64" s="214"/>
      <c r="AL64" s="214"/>
      <c r="AM64" s="198"/>
      <c r="AN64" s="305"/>
      <c r="AO64" s="239"/>
      <c r="AP64" s="166">
        <v>0</v>
      </c>
      <c r="AQ64" s="167">
        <v>315</v>
      </c>
      <c r="AR64" s="171" t="s">
        <v>1</v>
      </c>
      <c r="AS64" s="172" t="s">
        <v>1</v>
      </c>
      <c r="AT64" s="156"/>
    </row>
    <row r="65" spans="1:50" ht="42" x14ac:dyDescent="0.2">
      <c r="A65" s="23" t="s">
        <v>316</v>
      </c>
      <c r="B65" s="498" t="s">
        <v>317</v>
      </c>
      <c r="C65" s="499">
        <f>0.978-0.082</f>
        <v>0.89600000000000002</v>
      </c>
      <c r="D65" s="497">
        <f t="shared" si="0"/>
        <v>0.89600000000000002</v>
      </c>
      <c r="E65" s="497">
        <f t="shared" si="1"/>
        <v>0</v>
      </c>
      <c r="F65" s="25" t="s">
        <v>36</v>
      </c>
      <c r="G65" s="26" t="s">
        <v>318</v>
      </c>
      <c r="H65" s="188"/>
      <c r="I65" s="327" t="s">
        <v>317</v>
      </c>
      <c r="J65" s="250">
        <v>0.89600000000000002</v>
      </c>
      <c r="K65" s="29" t="s">
        <v>319</v>
      </c>
      <c r="L65" s="30"/>
      <c r="M65" s="62"/>
      <c r="N65" s="62"/>
      <c r="O65" s="62"/>
      <c r="P65" s="62"/>
      <c r="Q65" s="62"/>
      <c r="R65" s="62"/>
      <c r="S65" s="62"/>
      <c r="T65" s="62"/>
      <c r="U65" s="62"/>
      <c r="V65" s="250">
        <v>0.89600000000000002</v>
      </c>
      <c r="W65" s="29" t="s">
        <v>319</v>
      </c>
      <c r="X65" s="193"/>
      <c r="Y65" s="256"/>
      <c r="Z65" s="299"/>
      <c r="AA65" s="32"/>
      <c r="AB65" s="32"/>
      <c r="AC65" s="35"/>
      <c r="AD65" s="32"/>
      <c r="AE65" s="34"/>
      <c r="AF65" s="34"/>
      <c r="AG65" s="34"/>
      <c r="AH65" s="34"/>
      <c r="AI65" s="35"/>
      <c r="AJ65" s="35"/>
      <c r="AK65" s="214"/>
      <c r="AL65" s="214"/>
      <c r="AM65" s="198"/>
      <c r="AN65" s="305"/>
      <c r="AO65" s="239"/>
      <c r="AP65" s="166">
        <v>0</v>
      </c>
      <c r="AQ65" s="167">
        <v>6</v>
      </c>
      <c r="AR65" s="171" t="s">
        <v>1</v>
      </c>
      <c r="AS65" s="172" t="s">
        <v>1</v>
      </c>
      <c r="AT65" s="156"/>
    </row>
    <row r="66" spans="1:50" ht="42" x14ac:dyDescent="0.2">
      <c r="A66" s="23" t="s">
        <v>320</v>
      </c>
      <c r="B66" s="498" t="s">
        <v>321</v>
      </c>
      <c r="C66" s="499">
        <f>28.482-23.701</f>
        <v>4.7809999999999988</v>
      </c>
      <c r="D66" s="497">
        <f t="shared" si="0"/>
        <v>4.7810000000000006</v>
      </c>
      <c r="E66" s="497">
        <f t="shared" si="1"/>
        <v>0</v>
      </c>
      <c r="F66" s="25" t="s">
        <v>36</v>
      </c>
      <c r="G66" s="26" t="s">
        <v>322</v>
      </c>
      <c r="H66" s="188"/>
      <c r="I66" s="326"/>
      <c r="J66" s="250">
        <v>4.0990000000000002</v>
      </c>
      <c r="K66" s="29" t="s">
        <v>1804</v>
      </c>
      <c r="L66" s="30"/>
      <c r="M66" s="62"/>
      <c r="N66" s="62"/>
      <c r="O66" s="62"/>
      <c r="P66" s="62"/>
      <c r="Q66" s="62"/>
      <c r="R66" s="62">
        <v>3</v>
      </c>
      <c r="S66" s="62"/>
      <c r="T66" s="62"/>
      <c r="U66" s="62"/>
      <c r="V66" s="250">
        <v>4.0990000000000002</v>
      </c>
      <c r="W66" s="29" t="s">
        <v>1804</v>
      </c>
      <c r="X66" s="193"/>
      <c r="Y66" s="256"/>
      <c r="Z66" s="301">
        <v>0.68200000000000005</v>
      </c>
      <c r="AA66" s="53" t="s">
        <v>323</v>
      </c>
      <c r="AB66" s="53">
        <v>0.68200000000000005</v>
      </c>
      <c r="AC66" s="56"/>
      <c r="AD66" s="53"/>
      <c r="AE66" s="55"/>
      <c r="AF66" s="55"/>
      <c r="AG66" s="55"/>
      <c r="AH66" s="55"/>
      <c r="AI66" s="56"/>
      <c r="AJ66" s="56"/>
      <c r="AK66" s="219"/>
      <c r="AL66" s="219"/>
      <c r="AM66" s="198"/>
      <c r="AN66" s="305"/>
      <c r="AO66" s="239" t="s">
        <v>324</v>
      </c>
      <c r="AP66" s="166">
        <v>0</v>
      </c>
      <c r="AQ66" s="167">
        <v>25</v>
      </c>
      <c r="AR66" s="171" t="s">
        <v>1</v>
      </c>
      <c r="AS66" s="172" t="s">
        <v>1</v>
      </c>
      <c r="AT66" s="156">
        <v>27.677</v>
      </c>
      <c r="AU66" s="156">
        <v>28.481999999999999</v>
      </c>
      <c r="AV66" s="156">
        <f>AU66-AT66</f>
        <v>0.80499999999999972</v>
      </c>
      <c r="AW66" s="156">
        <v>6</v>
      </c>
    </row>
    <row r="67" spans="1:50" ht="31.5" x14ac:dyDescent="0.2">
      <c r="A67" s="23" t="s">
        <v>325</v>
      </c>
      <c r="B67" s="24" t="s">
        <v>326</v>
      </c>
      <c r="C67" s="90">
        <f>12.115-9.475</f>
        <v>2.6400000000000006</v>
      </c>
      <c r="D67" s="422">
        <f t="shared" ref="D67:D129" si="2">J67+Z67</f>
        <v>2.640000000000001</v>
      </c>
      <c r="E67" s="422">
        <f t="shared" si="1"/>
        <v>0</v>
      </c>
      <c r="F67" s="25" t="s">
        <v>36</v>
      </c>
      <c r="G67" s="26" t="s">
        <v>327</v>
      </c>
      <c r="H67" s="188"/>
      <c r="I67" s="326"/>
      <c r="J67" s="250">
        <v>0.56499999999999995</v>
      </c>
      <c r="K67" s="29" t="s">
        <v>328</v>
      </c>
      <c r="L67" s="30"/>
      <c r="M67" s="62"/>
      <c r="N67" s="62"/>
      <c r="O67" s="62"/>
      <c r="P67" s="62"/>
      <c r="Q67" s="62"/>
      <c r="R67" s="62"/>
      <c r="S67" s="62"/>
      <c r="T67" s="62"/>
      <c r="U67" s="62"/>
      <c r="V67" s="250">
        <v>0.56499999999999995</v>
      </c>
      <c r="W67" s="29" t="s">
        <v>328</v>
      </c>
      <c r="X67" s="193"/>
      <c r="Y67" s="256"/>
      <c r="Z67" s="309">
        <v>2.0750000000000011</v>
      </c>
      <c r="AA67" s="83" t="s">
        <v>329</v>
      </c>
      <c r="AB67" s="83"/>
      <c r="AC67" s="56">
        <v>2.5</v>
      </c>
      <c r="AD67" s="53" t="s">
        <v>330</v>
      </c>
      <c r="AE67" s="55">
        <v>11</v>
      </c>
      <c r="AF67" s="55">
        <v>0</v>
      </c>
      <c r="AG67" s="55">
        <v>2</v>
      </c>
      <c r="AH67" s="55">
        <v>0</v>
      </c>
      <c r="AI67" s="84"/>
      <c r="AJ67" s="56"/>
      <c r="AK67" s="220"/>
      <c r="AL67" s="220"/>
      <c r="AM67" s="198"/>
      <c r="AN67" s="305"/>
      <c r="AO67" s="239"/>
      <c r="AP67" s="166">
        <v>0</v>
      </c>
      <c r="AQ67" s="167">
        <v>0</v>
      </c>
      <c r="AR67" s="171" t="s">
        <v>60</v>
      </c>
      <c r="AS67" s="172" t="s">
        <v>1</v>
      </c>
      <c r="AT67" s="156"/>
    </row>
    <row r="68" spans="1:50" ht="52.5" x14ac:dyDescent="0.2">
      <c r="A68" s="23" t="s">
        <v>331</v>
      </c>
      <c r="B68" s="498" t="s">
        <v>332</v>
      </c>
      <c r="C68" s="499">
        <f>65.712-45.574</f>
        <v>20.138000000000005</v>
      </c>
      <c r="D68" s="497">
        <f t="shared" si="2"/>
        <v>24.203999999999997</v>
      </c>
      <c r="E68" s="497">
        <f t="shared" ref="E68:E130" si="3">D68-C68</f>
        <v>4.0659999999999918</v>
      </c>
      <c r="F68" s="25" t="s">
        <v>36</v>
      </c>
      <c r="G68" s="38" t="s">
        <v>333</v>
      </c>
      <c r="H68" s="188"/>
      <c r="I68" s="326" t="s">
        <v>332</v>
      </c>
      <c r="J68" s="250">
        <v>22.004000000000001</v>
      </c>
      <c r="K68" s="40" t="s">
        <v>1805</v>
      </c>
      <c r="L68" s="41"/>
      <c r="M68" s="62"/>
      <c r="N68" s="62"/>
      <c r="O68" s="62"/>
      <c r="P68" s="62"/>
      <c r="Q68" s="62"/>
      <c r="R68" s="62"/>
      <c r="S68" s="62"/>
      <c r="T68" s="62"/>
      <c r="U68" s="62"/>
      <c r="V68" s="250">
        <v>22.004000000000001</v>
      </c>
      <c r="W68" s="40" t="s">
        <v>1805</v>
      </c>
      <c r="X68" s="193"/>
      <c r="Y68" s="256"/>
      <c r="Z68" s="309">
        <v>2.1999999999999957</v>
      </c>
      <c r="AA68" s="83" t="s">
        <v>334</v>
      </c>
      <c r="AB68" s="53">
        <v>2.2000000000000002</v>
      </c>
      <c r="AC68" s="84"/>
      <c r="AD68" s="83"/>
      <c r="AE68" s="85"/>
      <c r="AF68" s="85"/>
      <c r="AG68" s="85"/>
      <c r="AH68" s="85"/>
      <c r="AI68" s="84"/>
      <c r="AJ68" s="84"/>
      <c r="AK68" s="220"/>
      <c r="AL68" s="220"/>
      <c r="AM68" s="198"/>
      <c r="AN68" s="305"/>
      <c r="AO68" s="239" t="s">
        <v>335</v>
      </c>
      <c r="AP68" s="166">
        <v>0</v>
      </c>
      <c r="AQ68" s="167">
        <v>132</v>
      </c>
      <c r="AR68" s="171" t="s">
        <v>1</v>
      </c>
      <c r="AS68" s="172" t="s">
        <v>1</v>
      </c>
      <c r="AT68" s="156">
        <v>46.954999999999998</v>
      </c>
      <c r="AU68" s="156">
        <v>48.965000000000003</v>
      </c>
      <c r="AV68" s="156">
        <f>AU68-AT68</f>
        <v>2.0100000000000051</v>
      </c>
      <c r="AW68" s="156">
        <v>16</v>
      </c>
      <c r="AX68" s="156">
        <v>16</v>
      </c>
    </row>
    <row r="69" spans="1:50" ht="31.5" x14ac:dyDescent="0.2">
      <c r="A69" s="23" t="s">
        <v>336</v>
      </c>
      <c r="B69" s="498" t="s">
        <v>337</v>
      </c>
      <c r="C69" s="499">
        <f>3.955-1.603</f>
        <v>2.3520000000000003</v>
      </c>
      <c r="D69" s="497">
        <f t="shared" si="2"/>
        <v>2.3519999999999999</v>
      </c>
      <c r="E69" s="497">
        <f t="shared" si="3"/>
        <v>0</v>
      </c>
      <c r="F69" s="25" t="s">
        <v>36</v>
      </c>
      <c r="G69" s="26" t="s">
        <v>338</v>
      </c>
      <c r="H69" s="188"/>
      <c r="I69" s="326" t="s">
        <v>337</v>
      </c>
      <c r="J69" s="250">
        <v>1.827</v>
      </c>
      <c r="K69" s="29" t="s">
        <v>339</v>
      </c>
      <c r="L69" s="30"/>
      <c r="M69" s="62"/>
      <c r="N69" s="62"/>
      <c r="O69" s="62"/>
      <c r="P69" s="62"/>
      <c r="Q69" s="62"/>
      <c r="R69" s="62"/>
      <c r="S69" s="62"/>
      <c r="T69" s="62"/>
      <c r="U69" s="62"/>
      <c r="V69" s="250">
        <v>1.827</v>
      </c>
      <c r="W69" s="29" t="s">
        <v>339</v>
      </c>
      <c r="X69" s="193"/>
      <c r="Y69" s="256"/>
      <c r="Z69" s="301">
        <v>0.52500000000000002</v>
      </c>
      <c r="AA69" s="53" t="s">
        <v>340</v>
      </c>
      <c r="AB69" s="53">
        <v>0.52500000000000002</v>
      </c>
      <c r="AC69" s="56"/>
      <c r="AD69" s="53"/>
      <c r="AE69" s="55"/>
      <c r="AF69" s="55"/>
      <c r="AG69" s="55"/>
      <c r="AH69" s="55"/>
      <c r="AI69" s="56"/>
      <c r="AJ69" s="56"/>
      <c r="AK69" s="219"/>
      <c r="AL69" s="219"/>
      <c r="AM69" s="198"/>
      <c r="AN69" s="305"/>
      <c r="AO69" s="239"/>
      <c r="AP69" s="166">
        <v>0</v>
      </c>
      <c r="AQ69" s="167">
        <v>4</v>
      </c>
      <c r="AR69" s="171" t="s">
        <v>1</v>
      </c>
      <c r="AS69" s="172" t="s">
        <v>1</v>
      </c>
      <c r="AT69" s="156"/>
    </row>
    <row r="70" spans="1:50" ht="31.5" x14ac:dyDescent="0.2">
      <c r="A70" s="23" t="s">
        <v>341</v>
      </c>
      <c r="B70" s="24" t="s">
        <v>342</v>
      </c>
      <c r="C70" s="90">
        <f>23.076-0.708</f>
        <v>22.368000000000002</v>
      </c>
      <c r="D70" s="422">
        <f t="shared" si="2"/>
        <v>22.368000000000002</v>
      </c>
      <c r="E70" s="422">
        <f t="shared" si="3"/>
        <v>0</v>
      </c>
      <c r="F70" s="25" t="s">
        <v>36</v>
      </c>
      <c r="G70" s="26" t="s">
        <v>343</v>
      </c>
      <c r="H70" s="188"/>
      <c r="I70" s="328"/>
      <c r="J70" s="250">
        <v>22.368000000000002</v>
      </c>
      <c r="K70" s="29" t="s">
        <v>344</v>
      </c>
      <c r="L70" s="30"/>
      <c r="M70" s="62"/>
      <c r="N70" s="62"/>
      <c r="O70" s="62"/>
      <c r="P70" s="62"/>
      <c r="Q70" s="62"/>
      <c r="R70" s="62"/>
      <c r="S70" s="62"/>
      <c r="T70" s="62"/>
      <c r="U70" s="62"/>
      <c r="V70" s="250">
        <v>22.368000000000002</v>
      </c>
      <c r="W70" s="29" t="s">
        <v>344</v>
      </c>
      <c r="X70" s="193"/>
      <c r="Y70" s="256"/>
      <c r="Z70" s="306"/>
      <c r="AA70" s="65"/>
      <c r="AB70" s="65"/>
      <c r="AC70" s="67"/>
      <c r="AD70" s="65"/>
      <c r="AE70" s="66"/>
      <c r="AF70" s="66"/>
      <c r="AG70" s="66"/>
      <c r="AH70" s="66"/>
      <c r="AI70" s="67"/>
      <c r="AJ70" s="67"/>
      <c r="AK70" s="217"/>
      <c r="AL70" s="217"/>
      <c r="AM70" s="198"/>
      <c r="AN70" s="305"/>
      <c r="AO70" s="239"/>
      <c r="AP70" s="166">
        <v>0</v>
      </c>
      <c r="AQ70" s="167">
        <v>158</v>
      </c>
      <c r="AR70" s="171" t="s">
        <v>1</v>
      </c>
      <c r="AS70" s="172" t="s">
        <v>1</v>
      </c>
      <c r="AT70" s="156"/>
    </row>
    <row r="71" spans="1:50" ht="31.5" x14ac:dyDescent="0.2">
      <c r="A71" s="23" t="s">
        <v>345</v>
      </c>
      <c r="B71" s="24" t="s">
        <v>346</v>
      </c>
      <c r="C71" s="90">
        <f>35.391-0.311</f>
        <v>35.08</v>
      </c>
      <c r="D71" s="422">
        <f t="shared" si="2"/>
        <v>35.08</v>
      </c>
      <c r="E71" s="422">
        <f t="shared" si="3"/>
        <v>0</v>
      </c>
      <c r="F71" s="25" t="s">
        <v>36</v>
      </c>
      <c r="G71" s="26" t="s">
        <v>347</v>
      </c>
      <c r="H71" s="188"/>
      <c r="I71" s="326"/>
      <c r="J71" s="250">
        <v>35.08</v>
      </c>
      <c r="K71" s="29" t="s">
        <v>348</v>
      </c>
      <c r="L71" s="30"/>
      <c r="M71" s="62"/>
      <c r="N71" s="62"/>
      <c r="O71" s="62"/>
      <c r="P71" s="62"/>
      <c r="Q71" s="62"/>
      <c r="R71" s="62"/>
      <c r="S71" s="62"/>
      <c r="T71" s="62"/>
      <c r="U71" s="62"/>
      <c r="V71" s="250">
        <v>35.08</v>
      </c>
      <c r="W71" s="29" t="s">
        <v>348</v>
      </c>
      <c r="X71" s="193"/>
      <c r="Y71" s="256"/>
      <c r="Z71" s="299"/>
      <c r="AA71" s="32"/>
      <c r="AB71" s="32"/>
      <c r="AC71" s="35"/>
      <c r="AD71" s="32"/>
      <c r="AE71" s="34"/>
      <c r="AF71" s="34"/>
      <c r="AG71" s="34"/>
      <c r="AH71" s="34"/>
      <c r="AI71" s="35"/>
      <c r="AJ71" s="35"/>
      <c r="AK71" s="214"/>
      <c r="AL71" s="214"/>
      <c r="AM71" s="198"/>
      <c r="AN71" s="305"/>
      <c r="AO71" s="239"/>
      <c r="AP71" s="166">
        <v>0</v>
      </c>
      <c r="AQ71" s="167">
        <v>208</v>
      </c>
      <c r="AR71" s="171" t="s">
        <v>1</v>
      </c>
      <c r="AS71" s="172" t="s">
        <v>1</v>
      </c>
      <c r="AT71" s="156"/>
    </row>
    <row r="72" spans="1:50" ht="42" x14ac:dyDescent="0.2">
      <c r="A72" s="23" t="s">
        <v>349</v>
      </c>
      <c r="B72" s="498" t="s">
        <v>1698</v>
      </c>
      <c r="C72" s="499">
        <f>53.952-42.781</f>
        <v>11.170999999999999</v>
      </c>
      <c r="D72" s="497">
        <f t="shared" si="2"/>
        <v>11.170999999999999</v>
      </c>
      <c r="E72" s="497">
        <f t="shared" si="3"/>
        <v>0</v>
      </c>
      <c r="F72" s="25" t="s">
        <v>36</v>
      </c>
      <c r="G72" s="38" t="s">
        <v>350</v>
      </c>
      <c r="H72" s="188"/>
      <c r="I72" s="327" t="s">
        <v>1698</v>
      </c>
      <c r="J72" s="250">
        <v>11.170999999999999</v>
      </c>
      <c r="K72" s="29" t="s">
        <v>1699</v>
      </c>
      <c r="L72" s="30"/>
      <c r="M72" s="62"/>
      <c r="N72" s="62"/>
      <c r="O72" s="62"/>
      <c r="P72" s="62"/>
      <c r="Q72" s="62"/>
      <c r="R72" s="62"/>
      <c r="S72" s="62"/>
      <c r="T72" s="62"/>
      <c r="U72" s="62"/>
      <c r="V72" s="250">
        <v>11.170999999999999</v>
      </c>
      <c r="W72" s="29" t="s">
        <v>1699</v>
      </c>
      <c r="X72" s="193"/>
      <c r="Y72" s="256"/>
      <c r="Z72" s="299"/>
      <c r="AA72" s="32"/>
      <c r="AB72" s="32"/>
      <c r="AC72" s="35"/>
      <c r="AD72" s="32"/>
      <c r="AE72" s="34"/>
      <c r="AF72" s="34"/>
      <c r="AG72" s="34"/>
      <c r="AH72" s="34"/>
      <c r="AI72" s="35"/>
      <c r="AJ72" s="35"/>
      <c r="AK72" s="214"/>
      <c r="AL72" s="214"/>
      <c r="AM72" s="198"/>
      <c r="AN72" s="305"/>
      <c r="AO72" s="239"/>
      <c r="AP72" s="166">
        <v>0</v>
      </c>
      <c r="AQ72" s="167">
        <v>47</v>
      </c>
      <c r="AR72" s="171" t="s">
        <v>1</v>
      </c>
      <c r="AS72" s="172" t="s">
        <v>1</v>
      </c>
      <c r="AT72" s="156"/>
    </row>
    <row r="73" spans="1:50" ht="31.5" x14ac:dyDescent="0.2">
      <c r="A73" s="23" t="s">
        <v>351</v>
      </c>
      <c r="B73" s="498" t="s">
        <v>1806</v>
      </c>
      <c r="C73" s="499">
        <f>57.24-53.952</f>
        <v>3.2880000000000038</v>
      </c>
      <c r="D73" s="497">
        <f t="shared" si="2"/>
        <v>3.2880000000000003</v>
      </c>
      <c r="E73" s="497">
        <f t="shared" si="3"/>
        <v>-3.5527136788005009E-15</v>
      </c>
      <c r="F73" s="25" t="s">
        <v>36</v>
      </c>
      <c r="G73" s="38" t="s">
        <v>352</v>
      </c>
      <c r="H73" s="188"/>
      <c r="I73" s="328" t="s">
        <v>1700</v>
      </c>
      <c r="J73" s="250">
        <v>1.7290000000000001</v>
      </c>
      <c r="K73" s="29" t="s">
        <v>1700</v>
      </c>
      <c r="L73" s="30"/>
      <c r="M73" s="62"/>
      <c r="N73" s="62"/>
      <c r="O73" s="62"/>
      <c r="P73" s="62"/>
      <c r="Q73" s="62"/>
      <c r="R73" s="62"/>
      <c r="S73" s="62"/>
      <c r="T73" s="62"/>
      <c r="U73" s="62"/>
      <c r="V73" s="250">
        <v>1.7290000000000001</v>
      </c>
      <c r="W73" s="29" t="s">
        <v>1700</v>
      </c>
      <c r="X73" s="193"/>
      <c r="Y73" s="256"/>
      <c r="Z73" s="309">
        <v>1.5589999999999999</v>
      </c>
      <c r="AA73" s="83" t="s">
        <v>1701</v>
      </c>
      <c r="AB73" s="53">
        <v>1.5589999999999999</v>
      </c>
      <c r="AC73" s="84"/>
      <c r="AD73" s="83"/>
      <c r="AE73" s="85"/>
      <c r="AF73" s="85"/>
      <c r="AG73" s="85"/>
      <c r="AH73" s="85"/>
      <c r="AI73" s="84"/>
      <c r="AJ73" s="84"/>
      <c r="AK73" s="220"/>
      <c r="AL73" s="220"/>
      <c r="AM73" s="198"/>
      <c r="AN73" s="305"/>
      <c r="AO73" s="239"/>
      <c r="AP73" s="166">
        <v>0</v>
      </c>
      <c r="AQ73" s="167">
        <v>10</v>
      </c>
      <c r="AR73" s="171" t="s">
        <v>1</v>
      </c>
      <c r="AS73" s="172" t="s">
        <v>1</v>
      </c>
      <c r="AT73" s="156"/>
    </row>
    <row r="74" spans="1:50" ht="31.5" x14ac:dyDescent="0.2">
      <c r="A74" s="23" t="s">
        <v>353</v>
      </c>
      <c r="B74" s="24" t="s">
        <v>354</v>
      </c>
      <c r="C74" s="90">
        <f>1.874-0.038</f>
        <v>1.8360000000000001</v>
      </c>
      <c r="D74" s="422">
        <f t="shared" si="2"/>
        <v>1.8360000000000001</v>
      </c>
      <c r="E74" s="422">
        <f t="shared" si="3"/>
        <v>0</v>
      </c>
      <c r="F74" s="25" t="s">
        <v>36</v>
      </c>
      <c r="G74" s="26" t="s">
        <v>355</v>
      </c>
      <c r="H74" s="188"/>
      <c r="I74" s="326"/>
      <c r="J74" s="250">
        <v>1.8360000000000001</v>
      </c>
      <c r="K74" s="29" t="s">
        <v>356</v>
      </c>
      <c r="L74" s="30"/>
      <c r="M74" s="62"/>
      <c r="N74" s="62"/>
      <c r="O74" s="62"/>
      <c r="P74" s="62"/>
      <c r="Q74" s="62"/>
      <c r="R74" s="62"/>
      <c r="S74" s="62"/>
      <c r="T74" s="62"/>
      <c r="U74" s="62"/>
      <c r="V74" s="250">
        <v>1.8360000000000001</v>
      </c>
      <c r="W74" s="29" t="s">
        <v>356</v>
      </c>
      <c r="X74" s="193"/>
      <c r="Y74" s="256"/>
      <c r="Z74" s="299"/>
      <c r="AA74" s="32"/>
      <c r="AB74" s="32"/>
      <c r="AC74" s="35"/>
      <c r="AD74" s="32"/>
      <c r="AE74" s="34"/>
      <c r="AF74" s="34"/>
      <c r="AG74" s="34"/>
      <c r="AH74" s="34"/>
      <c r="AI74" s="35"/>
      <c r="AJ74" s="35"/>
      <c r="AK74" s="214"/>
      <c r="AL74" s="214"/>
      <c r="AM74" s="198"/>
      <c r="AN74" s="305"/>
      <c r="AO74" s="239"/>
      <c r="AP74" s="166">
        <v>0</v>
      </c>
      <c r="AQ74" s="167">
        <v>11</v>
      </c>
      <c r="AR74" s="171" t="s">
        <v>1</v>
      </c>
      <c r="AS74" s="172" t="s">
        <v>1</v>
      </c>
      <c r="AT74" s="156"/>
    </row>
    <row r="75" spans="1:50" ht="42" x14ac:dyDescent="0.2">
      <c r="A75" s="23" t="s">
        <v>357</v>
      </c>
      <c r="B75" s="24" t="s">
        <v>358</v>
      </c>
      <c r="C75" s="90">
        <f>2.564-0.087</f>
        <v>2.4769999999999999</v>
      </c>
      <c r="D75" s="422">
        <f t="shared" si="2"/>
        <v>2.4769999999999999</v>
      </c>
      <c r="E75" s="422">
        <f t="shared" si="3"/>
        <v>0</v>
      </c>
      <c r="F75" s="25" t="s">
        <v>36</v>
      </c>
      <c r="G75" s="26" t="s">
        <v>359</v>
      </c>
      <c r="H75" s="188"/>
      <c r="I75" s="327" t="s">
        <v>358</v>
      </c>
      <c r="J75" s="250">
        <v>2.4769999999999999</v>
      </c>
      <c r="K75" s="29" t="s">
        <v>360</v>
      </c>
      <c r="L75" s="30"/>
      <c r="M75" s="62"/>
      <c r="N75" s="62"/>
      <c r="O75" s="62"/>
      <c r="P75" s="62"/>
      <c r="Q75" s="62"/>
      <c r="R75" s="62"/>
      <c r="S75" s="62"/>
      <c r="T75" s="62"/>
      <c r="U75" s="62"/>
      <c r="V75" s="250">
        <v>2.4769999999999999</v>
      </c>
      <c r="W75" s="29" t="s">
        <v>360</v>
      </c>
      <c r="X75" s="193"/>
      <c r="Y75" s="256"/>
      <c r="Z75" s="299"/>
      <c r="AA75" s="32"/>
      <c r="AB75" s="32"/>
      <c r="AC75" s="35"/>
      <c r="AD75" s="32"/>
      <c r="AE75" s="34"/>
      <c r="AF75" s="34"/>
      <c r="AG75" s="34"/>
      <c r="AH75" s="34"/>
      <c r="AI75" s="35"/>
      <c r="AJ75" s="35"/>
      <c r="AK75" s="214"/>
      <c r="AL75" s="214"/>
      <c r="AM75" s="198"/>
      <c r="AN75" s="305"/>
      <c r="AO75" s="239"/>
      <c r="AP75" s="166">
        <v>0</v>
      </c>
      <c r="AQ75" s="167">
        <v>11</v>
      </c>
      <c r="AR75" s="171" t="s">
        <v>1</v>
      </c>
      <c r="AS75" s="172" t="s">
        <v>1</v>
      </c>
      <c r="AT75" s="156"/>
    </row>
    <row r="76" spans="1:50" ht="42" x14ac:dyDescent="0.2">
      <c r="A76" s="23" t="s">
        <v>361</v>
      </c>
      <c r="B76" s="24" t="s">
        <v>362</v>
      </c>
      <c r="C76" s="90">
        <f>2.5-0.03</f>
        <v>2.4700000000000002</v>
      </c>
      <c r="D76" s="422">
        <f t="shared" si="2"/>
        <v>2.4700000000000002</v>
      </c>
      <c r="E76" s="422">
        <f t="shared" si="3"/>
        <v>0</v>
      </c>
      <c r="F76" s="25" t="s">
        <v>36</v>
      </c>
      <c r="G76" s="26" t="s">
        <v>363</v>
      </c>
      <c r="H76" s="188"/>
      <c r="I76" s="326"/>
      <c r="J76" s="350"/>
      <c r="K76" s="351"/>
      <c r="L76" s="352"/>
      <c r="M76" s="353"/>
      <c r="N76" s="353"/>
      <c r="O76" s="353"/>
      <c r="P76" s="353"/>
      <c r="Q76" s="353"/>
      <c r="R76" s="353"/>
      <c r="S76" s="353"/>
      <c r="T76" s="353"/>
      <c r="U76" s="353"/>
      <c r="V76" s="354"/>
      <c r="W76" s="355"/>
      <c r="X76" s="193"/>
      <c r="Y76" s="256"/>
      <c r="Z76" s="310">
        <v>2.4700000000000002</v>
      </c>
      <c r="AA76" s="77" t="s">
        <v>364</v>
      </c>
      <c r="AB76" s="53">
        <v>2.4700000000000002</v>
      </c>
      <c r="AC76" s="79"/>
      <c r="AD76" s="77"/>
      <c r="AE76" s="78"/>
      <c r="AF76" s="78"/>
      <c r="AG76" s="78"/>
      <c r="AH76" s="78"/>
      <c r="AI76" s="79"/>
      <c r="AJ76" s="79"/>
      <c r="AK76" s="219"/>
      <c r="AL76" s="219"/>
      <c r="AM76" s="198"/>
      <c r="AN76" s="305"/>
      <c r="AO76" s="239"/>
      <c r="AP76" s="166">
        <v>0</v>
      </c>
      <c r="AQ76" s="167">
        <v>14</v>
      </c>
      <c r="AR76" s="168" t="s">
        <v>144</v>
      </c>
      <c r="AS76" s="172" t="s">
        <v>365</v>
      </c>
      <c r="AT76" s="156"/>
    </row>
    <row r="77" spans="1:50" ht="42" x14ac:dyDescent="0.2">
      <c r="A77" s="23" t="s">
        <v>366</v>
      </c>
      <c r="B77" s="24" t="s">
        <v>367</v>
      </c>
      <c r="C77" s="90">
        <f>39.443-1.169</f>
        <v>38.274000000000001</v>
      </c>
      <c r="D77" s="422">
        <f t="shared" si="2"/>
        <v>38.274000000000001</v>
      </c>
      <c r="E77" s="422">
        <f t="shared" si="3"/>
        <v>0</v>
      </c>
      <c r="F77" s="25" t="s">
        <v>36</v>
      </c>
      <c r="G77" s="26" t="s">
        <v>368</v>
      </c>
      <c r="H77" s="188"/>
      <c r="I77" s="328"/>
      <c r="J77" s="250">
        <v>1.712</v>
      </c>
      <c r="K77" s="28" t="s">
        <v>1706</v>
      </c>
      <c r="L77" s="28"/>
      <c r="M77" s="62"/>
      <c r="N77" s="62"/>
      <c r="O77" s="62"/>
      <c r="P77" s="62"/>
      <c r="Q77" s="62"/>
      <c r="R77" s="62"/>
      <c r="S77" s="62"/>
      <c r="T77" s="62"/>
      <c r="U77" s="62"/>
      <c r="V77" s="250">
        <v>1.712</v>
      </c>
      <c r="W77" s="28" t="s">
        <v>1706</v>
      </c>
      <c r="X77" s="193"/>
      <c r="Y77" s="256"/>
      <c r="Z77" s="302">
        <v>36.561999999999998</v>
      </c>
      <c r="AA77" s="71" t="s">
        <v>1707</v>
      </c>
      <c r="AB77" s="71"/>
      <c r="AC77" s="79">
        <v>38.700000000000003</v>
      </c>
      <c r="AD77" s="77" t="s">
        <v>369</v>
      </c>
      <c r="AE77" s="78">
        <v>284</v>
      </c>
      <c r="AF77" s="78">
        <v>0</v>
      </c>
      <c r="AG77" s="78">
        <v>126</v>
      </c>
      <c r="AH77" s="78">
        <v>0</v>
      </c>
      <c r="AI77" s="79"/>
      <c r="AJ77" s="79"/>
      <c r="AK77" s="219"/>
      <c r="AL77" s="219"/>
      <c r="AM77" s="198"/>
      <c r="AN77" s="305"/>
      <c r="AO77" s="239" t="s">
        <v>370</v>
      </c>
      <c r="AP77" s="166">
        <v>0</v>
      </c>
      <c r="AQ77" s="167">
        <v>0</v>
      </c>
      <c r="AR77" s="168" t="s">
        <v>60</v>
      </c>
      <c r="AS77" s="169" t="s">
        <v>254</v>
      </c>
      <c r="AT77" s="156">
        <v>36.457000000000001</v>
      </c>
      <c r="AU77" s="156">
        <v>37.201000000000001</v>
      </c>
      <c r="AV77" s="156">
        <f t="shared" ref="AV77" si="4">AU77-AT77</f>
        <v>0.74399999999999977</v>
      </c>
      <c r="AW77" s="156">
        <v>6</v>
      </c>
    </row>
    <row r="78" spans="1:50" ht="21" x14ac:dyDescent="0.2">
      <c r="A78" s="23" t="s">
        <v>371</v>
      </c>
      <c r="B78" s="24" t="s">
        <v>372</v>
      </c>
      <c r="C78" s="90">
        <f>35.747-9.676</f>
        <v>26.070999999999998</v>
      </c>
      <c r="D78" s="422">
        <f t="shared" si="2"/>
        <v>26.071000000000002</v>
      </c>
      <c r="E78" s="422">
        <f t="shared" si="3"/>
        <v>0</v>
      </c>
      <c r="F78" s="25" t="s">
        <v>36</v>
      </c>
      <c r="G78" s="26" t="s">
        <v>373</v>
      </c>
      <c r="H78" s="188"/>
      <c r="I78" s="326"/>
      <c r="J78" s="250">
        <v>19.283000000000001</v>
      </c>
      <c r="K78" s="40" t="s">
        <v>374</v>
      </c>
      <c r="L78" s="40"/>
      <c r="M78" s="62"/>
      <c r="N78" s="62"/>
      <c r="O78" s="62"/>
      <c r="P78" s="62"/>
      <c r="Q78" s="62"/>
      <c r="R78" s="62"/>
      <c r="S78" s="62"/>
      <c r="T78" s="62"/>
      <c r="U78" s="62"/>
      <c r="V78" s="250">
        <v>19.283000000000001</v>
      </c>
      <c r="W78" s="40" t="s">
        <v>374</v>
      </c>
      <c r="X78" s="193"/>
      <c r="Y78" s="256"/>
      <c r="Z78" s="308">
        <v>6.7880000000000003</v>
      </c>
      <c r="AA78" s="87" t="s">
        <v>375</v>
      </c>
      <c r="AB78" s="53"/>
      <c r="AC78" s="89"/>
      <c r="AD78" s="87"/>
      <c r="AE78" s="88"/>
      <c r="AF78" s="88"/>
      <c r="AG78" s="88"/>
      <c r="AH78" s="88"/>
      <c r="AI78" s="89">
        <v>6.7880000000000003</v>
      </c>
      <c r="AJ78" s="89"/>
      <c r="AK78" s="221"/>
      <c r="AL78" s="221"/>
      <c r="AM78" s="198"/>
      <c r="AN78" s="305"/>
      <c r="AO78" s="239"/>
      <c r="AP78" s="166">
        <v>0</v>
      </c>
      <c r="AQ78" s="167">
        <v>177</v>
      </c>
      <c r="AR78" s="168" t="s">
        <v>144</v>
      </c>
      <c r="AS78" s="172" t="s">
        <v>365</v>
      </c>
      <c r="AT78" s="156"/>
    </row>
    <row r="79" spans="1:50" ht="42" x14ac:dyDescent="0.2">
      <c r="A79" s="23" t="s">
        <v>376</v>
      </c>
      <c r="B79" s="24" t="s">
        <v>377</v>
      </c>
      <c r="C79" s="90">
        <f>25.392-0.686</f>
        <v>24.706</v>
      </c>
      <c r="D79" s="422">
        <f t="shared" si="2"/>
        <v>24.706</v>
      </c>
      <c r="E79" s="422">
        <f t="shared" si="3"/>
        <v>0</v>
      </c>
      <c r="F79" s="25" t="s">
        <v>36</v>
      </c>
      <c r="G79" s="38" t="s">
        <v>378</v>
      </c>
      <c r="H79" s="188"/>
      <c r="I79" s="327" t="s">
        <v>377</v>
      </c>
      <c r="J79" s="250">
        <v>24.706</v>
      </c>
      <c r="K79" s="29" t="s">
        <v>379</v>
      </c>
      <c r="L79" s="30"/>
      <c r="M79" s="62"/>
      <c r="N79" s="62"/>
      <c r="O79" s="62"/>
      <c r="P79" s="62"/>
      <c r="Q79" s="62"/>
      <c r="R79" s="62"/>
      <c r="S79" s="62"/>
      <c r="T79" s="62"/>
      <c r="U79" s="62"/>
      <c r="V79" s="250">
        <v>24.706</v>
      </c>
      <c r="W79" s="29" t="s">
        <v>379</v>
      </c>
      <c r="X79" s="193"/>
      <c r="Y79" s="256"/>
      <c r="Z79" s="299"/>
      <c r="AA79" s="32"/>
      <c r="AB79" s="32"/>
      <c r="AC79" s="35"/>
      <c r="AD79" s="32"/>
      <c r="AE79" s="34"/>
      <c r="AF79" s="34"/>
      <c r="AG79" s="34"/>
      <c r="AH79" s="34"/>
      <c r="AI79" s="35"/>
      <c r="AJ79" s="35"/>
      <c r="AK79" s="214"/>
      <c r="AL79" s="214"/>
      <c r="AM79" s="198"/>
      <c r="AN79" s="305"/>
      <c r="AO79" s="239"/>
      <c r="AP79" s="166">
        <v>0</v>
      </c>
      <c r="AQ79" s="167">
        <v>156</v>
      </c>
      <c r="AR79" s="171" t="s">
        <v>1</v>
      </c>
      <c r="AS79" s="172" t="s">
        <v>1</v>
      </c>
      <c r="AT79" s="156"/>
    </row>
    <row r="80" spans="1:50" ht="21" x14ac:dyDescent="0.2">
      <c r="A80" s="23" t="s">
        <v>380</v>
      </c>
      <c r="B80" s="24" t="s">
        <v>381</v>
      </c>
      <c r="C80" s="90">
        <f>8.979-0.589</f>
        <v>8.3899999999999988</v>
      </c>
      <c r="D80" s="422">
        <f t="shared" si="2"/>
        <v>8.3899999999999988</v>
      </c>
      <c r="E80" s="422">
        <f t="shared" si="3"/>
        <v>0</v>
      </c>
      <c r="F80" s="25" t="s">
        <v>36</v>
      </c>
      <c r="G80" s="38" t="s">
        <v>382</v>
      </c>
      <c r="H80" s="188"/>
      <c r="I80" s="328" t="s">
        <v>383</v>
      </c>
      <c r="J80" s="250">
        <v>8.3899999999999988</v>
      </c>
      <c r="K80" s="29" t="s">
        <v>384</v>
      </c>
      <c r="L80" s="30"/>
      <c r="M80" s="62"/>
      <c r="N80" s="62"/>
      <c r="O80" s="62"/>
      <c r="P80" s="62"/>
      <c r="Q80" s="62"/>
      <c r="R80" s="62"/>
      <c r="S80" s="62"/>
      <c r="T80" s="62"/>
      <c r="U80" s="62"/>
      <c r="V80" s="250">
        <v>8.3899999999999988</v>
      </c>
      <c r="W80" s="29" t="s">
        <v>384</v>
      </c>
      <c r="X80" s="193"/>
      <c r="Y80" s="256"/>
      <c r="Z80" s="306"/>
      <c r="AA80" s="65"/>
      <c r="AB80" s="65"/>
      <c r="AC80" s="67"/>
      <c r="AD80" s="65"/>
      <c r="AE80" s="66"/>
      <c r="AF80" s="66"/>
      <c r="AG80" s="66"/>
      <c r="AH80" s="66"/>
      <c r="AI80" s="67"/>
      <c r="AJ80" s="67"/>
      <c r="AK80" s="217"/>
      <c r="AL80" s="217"/>
      <c r="AM80" s="198"/>
      <c r="AN80" s="305"/>
      <c r="AO80" s="239"/>
      <c r="AP80" s="166">
        <v>0</v>
      </c>
      <c r="AQ80" s="167">
        <v>55</v>
      </c>
      <c r="AR80" s="171" t="s">
        <v>1</v>
      </c>
      <c r="AS80" s="172" t="s">
        <v>1</v>
      </c>
      <c r="AT80" s="156"/>
    </row>
    <row r="81" spans="1:49" ht="42" x14ac:dyDescent="0.2">
      <c r="A81" s="23" t="s">
        <v>385</v>
      </c>
      <c r="B81" s="24" t="s">
        <v>386</v>
      </c>
      <c r="C81" s="90">
        <f>10.002-2.753</f>
        <v>7.2490000000000006</v>
      </c>
      <c r="D81" s="422">
        <f t="shared" si="2"/>
        <v>7.2490000000000006</v>
      </c>
      <c r="E81" s="422">
        <f t="shared" si="3"/>
        <v>0</v>
      </c>
      <c r="F81" s="25" t="s">
        <v>68</v>
      </c>
      <c r="G81" s="26" t="s">
        <v>387</v>
      </c>
      <c r="H81" s="188"/>
      <c r="I81" s="326"/>
      <c r="J81" s="250">
        <v>7.2490000000000006</v>
      </c>
      <c r="K81" s="29" t="s">
        <v>388</v>
      </c>
      <c r="L81" s="30"/>
      <c r="M81" s="62"/>
      <c r="N81" s="62"/>
      <c r="O81" s="62"/>
      <c r="P81" s="62"/>
      <c r="Q81" s="62"/>
      <c r="R81" s="62"/>
      <c r="S81" s="62"/>
      <c r="T81" s="62"/>
      <c r="U81" s="62"/>
      <c r="V81" s="193"/>
      <c r="W81" s="199"/>
      <c r="X81" s="193"/>
      <c r="Y81" s="256"/>
      <c r="Z81" s="299"/>
      <c r="AA81" s="32"/>
      <c r="AB81" s="32"/>
      <c r="AC81" s="35"/>
      <c r="AD81" s="32"/>
      <c r="AE81" s="34"/>
      <c r="AF81" s="34"/>
      <c r="AG81" s="34"/>
      <c r="AH81" s="34"/>
      <c r="AI81" s="35"/>
      <c r="AJ81" s="35"/>
      <c r="AK81" s="214"/>
      <c r="AL81" s="214"/>
      <c r="AM81" s="198"/>
      <c r="AN81" s="305"/>
      <c r="AO81" s="239"/>
      <c r="AP81" s="166">
        <v>0</v>
      </c>
      <c r="AQ81" s="167">
        <v>41</v>
      </c>
      <c r="AR81" s="171" t="s">
        <v>1</v>
      </c>
      <c r="AS81" s="172" t="s">
        <v>1</v>
      </c>
    </row>
    <row r="82" spans="1:49" ht="52.5" x14ac:dyDescent="0.2">
      <c r="A82" s="23" t="s">
        <v>389</v>
      </c>
      <c r="B82" s="24" t="s">
        <v>390</v>
      </c>
      <c r="C82" s="90">
        <f>2.87-0.883</f>
        <v>1.9870000000000001</v>
      </c>
      <c r="D82" s="422">
        <f t="shared" si="2"/>
        <v>1.9870000000000001</v>
      </c>
      <c r="E82" s="422">
        <f t="shared" si="3"/>
        <v>0</v>
      </c>
      <c r="F82" s="25" t="s">
        <v>68</v>
      </c>
      <c r="G82" s="26" t="s">
        <v>391</v>
      </c>
      <c r="H82" s="188"/>
      <c r="I82" s="326"/>
      <c r="J82" s="250">
        <v>1.9870000000000001</v>
      </c>
      <c r="K82" s="29" t="s">
        <v>392</v>
      </c>
      <c r="L82" s="30"/>
      <c r="M82" s="62"/>
      <c r="N82" s="62"/>
      <c r="O82" s="62"/>
      <c r="P82" s="62"/>
      <c r="Q82" s="62"/>
      <c r="R82" s="62"/>
      <c r="S82" s="62"/>
      <c r="T82" s="62"/>
      <c r="U82" s="62"/>
      <c r="V82" s="193"/>
      <c r="W82" s="199"/>
      <c r="X82" s="193"/>
      <c r="Y82" s="256"/>
      <c r="Z82" s="299"/>
      <c r="AA82" s="32"/>
      <c r="AB82" s="32"/>
      <c r="AC82" s="35"/>
      <c r="AD82" s="32"/>
      <c r="AE82" s="34"/>
      <c r="AF82" s="34"/>
      <c r="AG82" s="34"/>
      <c r="AH82" s="34"/>
      <c r="AI82" s="35"/>
      <c r="AJ82" s="35"/>
      <c r="AK82" s="214"/>
      <c r="AL82" s="214"/>
      <c r="AM82" s="198"/>
      <c r="AN82" s="305"/>
      <c r="AO82" s="239"/>
      <c r="AP82" s="166">
        <v>0</v>
      </c>
      <c r="AQ82" s="167">
        <v>11</v>
      </c>
      <c r="AR82" s="171" t="s">
        <v>1</v>
      </c>
      <c r="AS82" s="172" t="s">
        <v>1</v>
      </c>
    </row>
    <row r="83" spans="1:49" ht="42" x14ac:dyDescent="0.2">
      <c r="A83" s="23" t="s">
        <v>393</v>
      </c>
      <c r="B83" s="24" t="s">
        <v>394</v>
      </c>
      <c r="C83" s="90">
        <f>10.004-0.25</f>
        <v>9.7539999999999996</v>
      </c>
      <c r="D83" s="422">
        <f t="shared" si="2"/>
        <v>9.7539999999999996</v>
      </c>
      <c r="E83" s="422">
        <f t="shared" si="3"/>
        <v>0</v>
      </c>
      <c r="F83" s="25" t="s">
        <v>68</v>
      </c>
      <c r="G83" s="26" t="s">
        <v>395</v>
      </c>
      <c r="H83" s="188"/>
      <c r="I83" s="326"/>
      <c r="J83" s="250">
        <v>9.7539999999999996</v>
      </c>
      <c r="K83" s="29" t="s">
        <v>396</v>
      </c>
      <c r="L83" s="30"/>
      <c r="M83" s="62"/>
      <c r="N83" s="62"/>
      <c r="O83" s="62"/>
      <c r="P83" s="62"/>
      <c r="Q83" s="62"/>
      <c r="R83" s="62"/>
      <c r="S83" s="62"/>
      <c r="T83" s="62"/>
      <c r="U83" s="62"/>
      <c r="V83" s="193"/>
      <c r="W83" s="199"/>
      <c r="X83" s="193"/>
      <c r="Y83" s="256"/>
      <c r="Z83" s="299"/>
      <c r="AA83" s="32"/>
      <c r="AB83" s="32"/>
      <c r="AC83" s="35"/>
      <c r="AD83" s="32"/>
      <c r="AE83" s="34"/>
      <c r="AF83" s="34"/>
      <c r="AG83" s="34"/>
      <c r="AH83" s="34"/>
      <c r="AI83" s="35"/>
      <c r="AJ83" s="35"/>
      <c r="AK83" s="214"/>
      <c r="AL83" s="214"/>
      <c r="AM83" s="198"/>
      <c r="AN83" s="305"/>
      <c r="AO83" s="239"/>
      <c r="AP83" s="166">
        <v>5</v>
      </c>
      <c r="AQ83" s="167">
        <v>53</v>
      </c>
      <c r="AR83" s="171" t="s">
        <v>1</v>
      </c>
      <c r="AS83" s="172" t="s">
        <v>1</v>
      </c>
    </row>
    <row r="84" spans="1:49" ht="52.5" x14ac:dyDescent="0.2">
      <c r="A84" s="23" t="s">
        <v>397</v>
      </c>
      <c r="B84" s="498" t="s">
        <v>398</v>
      </c>
      <c r="C84" s="499">
        <f>117.761-47.52</f>
        <v>70.240999999999985</v>
      </c>
      <c r="D84" s="497">
        <f t="shared" si="2"/>
        <v>70.241</v>
      </c>
      <c r="E84" s="497">
        <f t="shared" si="3"/>
        <v>0</v>
      </c>
      <c r="F84" s="100" t="s">
        <v>26</v>
      </c>
      <c r="G84" s="26" t="s">
        <v>399</v>
      </c>
      <c r="H84" s="188"/>
      <c r="I84" s="326"/>
      <c r="J84" s="250">
        <v>67.222999999999999</v>
      </c>
      <c r="K84" s="40" t="s">
        <v>1815</v>
      </c>
      <c r="L84" s="41"/>
      <c r="M84" s="62"/>
      <c r="N84" s="62"/>
      <c r="O84" s="62"/>
      <c r="P84" s="62"/>
      <c r="Q84" s="62"/>
      <c r="R84" s="62"/>
      <c r="S84" s="62"/>
      <c r="T84" s="62"/>
      <c r="U84" s="536"/>
      <c r="V84" s="28">
        <v>67.222999999999999</v>
      </c>
      <c r="W84" s="40" t="s">
        <v>1815</v>
      </c>
      <c r="X84" s="193"/>
      <c r="Y84" s="256"/>
      <c r="Z84" s="301">
        <v>3.0179999999999998</v>
      </c>
      <c r="AA84" s="53" t="s">
        <v>1708</v>
      </c>
      <c r="AB84" s="53"/>
      <c r="AC84" s="364"/>
      <c r="AD84" s="362"/>
      <c r="AE84" s="363"/>
      <c r="AF84" s="363"/>
      <c r="AG84" s="363"/>
      <c r="AH84" s="363"/>
      <c r="AI84" s="84">
        <v>3.1</v>
      </c>
      <c r="AJ84" s="364"/>
      <c r="AK84" s="365"/>
      <c r="AL84" s="365"/>
      <c r="AM84" s="198"/>
      <c r="AN84" s="305"/>
      <c r="AO84" s="239" t="s">
        <v>400</v>
      </c>
      <c r="AP84" s="166">
        <v>31</v>
      </c>
      <c r="AQ84" s="167">
        <v>415</v>
      </c>
      <c r="AR84" s="171" t="s">
        <v>1</v>
      </c>
      <c r="AS84" s="172" t="s">
        <v>1</v>
      </c>
      <c r="AT84" s="155">
        <v>95.221999999999994</v>
      </c>
      <c r="AU84" s="156">
        <v>96.593000000000004</v>
      </c>
      <c r="AV84" s="156">
        <f>AU84-AT84</f>
        <v>1.3710000000000093</v>
      </c>
      <c r="AW84" s="156">
        <v>8</v>
      </c>
    </row>
    <row r="85" spans="1:49" ht="21" x14ac:dyDescent="0.2">
      <c r="A85" s="23" t="s">
        <v>401</v>
      </c>
      <c r="B85" s="24" t="s">
        <v>402</v>
      </c>
      <c r="C85" s="90">
        <f>121.101-118.952</f>
        <v>2.1490000000000009</v>
      </c>
      <c r="D85" s="422">
        <f t="shared" si="2"/>
        <v>2.1490000000000009</v>
      </c>
      <c r="E85" s="422">
        <f t="shared" si="3"/>
        <v>0</v>
      </c>
      <c r="F85" s="25" t="s">
        <v>36</v>
      </c>
      <c r="G85" s="26" t="s">
        <v>403</v>
      </c>
      <c r="H85" s="188"/>
      <c r="I85" s="327" t="s">
        <v>402</v>
      </c>
      <c r="J85" s="250">
        <v>2.1490000000000009</v>
      </c>
      <c r="K85" s="29" t="s">
        <v>404</v>
      </c>
      <c r="L85" s="30"/>
      <c r="M85" s="62"/>
      <c r="N85" s="62"/>
      <c r="O85" s="62"/>
      <c r="P85" s="62"/>
      <c r="Q85" s="62"/>
      <c r="R85" s="62"/>
      <c r="S85" s="62"/>
      <c r="T85" s="62"/>
      <c r="U85" s="62"/>
      <c r="V85" s="250">
        <v>2.1490000000000009</v>
      </c>
      <c r="W85" s="29" t="s">
        <v>404</v>
      </c>
      <c r="X85" s="193"/>
      <c r="Y85" s="256"/>
      <c r="Z85" s="299"/>
      <c r="AA85" s="32"/>
      <c r="AB85" s="32"/>
      <c r="AC85" s="35"/>
      <c r="AD85" s="32"/>
      <c r="AE85" s="34"/>
      <c r="AF85" s="34"/>
      <c r="AG85" s="34"/>
      <c r="AH85" s="34"/>
      <c r="AI85" s="35"/>
      <c r="AJ85" s="35"/>
      <c r="AK85" s="214"/>
      <c r="AL85" s="214"/>
      <c r="AM85" s="198"/>
      <c r="AN85" s="305"/>
      <c r="AO85" s="239"/>
      <c r="AP85" s="166">
        <v>0</v>
      </c>
      <c r="AQ85" s="167">
        <v>7</v>
      </c>
      <c r="AR85" s="171" t="s">
        <v>1</v>
      </c>
      <c r="AS85" s="172" t="s">
        <v>1</v>
      </c>
      <c r="AT85" s="156"/>
    </row>
    <row r="86" spans="1:49" ht="31.5" x14ac:dyDescent="0.2">
      <c r="A86" s="23" t="s">
        <v>405</v>
      </c>
      <c r="B86" s="24" t="s">
        <v>406</v>
      </c>
      <c r="C86" s="90">
        <f>125.294-124.243</f>
        <v>1.0510000000000019</v>
      </c>
      <c r="D86" s="422">
        <f t="shared" si="2"/>
        <v>1.0509999999999999</v>
      </c>
      <c r="E86" s="422">
        <f t="shared" si="3"/>
        <v>-1.9984014443252818E-15</v>
      </c>
      <c r="F86" s="25" t="s">
        <v>36</v>
      </c>
      <c r="G86" s="38" t="s">
        <v>407</v>
      </c>
      <c r="H86" s="188"/>
      <c r="I86" s="327" t="s">
        <v>406</v>
      </c>
      <c r="J86" s="258"/>
      <c r="K86" s="210"/>
      <c r="L86" s="210"/>
      <c r="M86" s="210"/>
      <c r="N86" s="259"/>
      <c r="O86" s="259"/>
      <c r="P86" s="259"/>
      <c r="Q86" s="259"/>
      <c r="R86" s="210"/>
      <c r="S86" s="210"/>
      <c r="T86" s="210"/>
      <c r="U86" s="210"/>
      <c r="V86" s="193"/>
      <c r="W86" s="199"/>
      <c r="X86" s="193"/>
      <c r="Y86" s="256"/>
      <c r="Z86" s="302">
        <v>1.0509999999999999</v>
      </c>
      <c r="AA86" s="59" t="s">
        <v>406</v>
      </c>
      <c r="AB86" s="59">
        <v>1.0509999999999999</v>
      </c>
      <c r="AC86" s="61"/>
      <c r="AD86" s="59"/>
      <c r="AE86" s="60"/>
      <c r="AF86" s="60"/>
      <c r="AG86" s="60"/>
      <c r="AH86" s="60"/>
      <c r="AI86" s="61"/>
      <c r="AJ86" s="61"/>
      <c r="AK86" s="220"/>
      <c r="AL86" s="220"/>
      <c r="AM86" s="198"/>
      <c r="AN86" s="305"/>
      <c r="AO86" s="239"/>
      <c r="AP86" s="166">
        <v>0</v>
      </c>
      <c r="AQ86" s="167">
        <v>4</v>
      </c>
      <c r="AR86" s="171" t="s">
        <v>1</v>
      </c>
      <c r="AS86" s="172" t="s">
        <v>1</v>
      </c>
      <c r="AT86" s="156"/>
    </row>
    <row r="87" spans="1:49" ht="31.5" x14ac:dyDescent="0.2">
      <c r="A87" s="23" t="s">
        <v>408</v>
      </c>
      <c r="B87" s="24" t="s">
        <v>409</v>
      </c>
      <c r="C87" s="90">
        <f>11.62-1.826</f>
        <v>9.7939999999999987</v>
      </c>
      <c r="D87" s="422">
        <f t="shared" si="2"/>
        <v>9.86</v>
      </c>
      <c r="E87" s="422">
        <f t="shared" si="3"/>
        <v>6.6000000000000725E-2</v>
      </c>
      <c r="F87" s="25" t="s">
        <v>36</v>
      </c>
      <c r="G87" s="38" t="s">
        <v>410</v>
      </c>
      <c r="H87" s="188"/>
      <c r="I87" s="327" t="s">
        <v>1705</v>
      </c>
      <c r="J87" s="250">
        <v>9.86</v>
      </c>
      <c r="K87" s="29" t="s">
        <v>1704</v>
      </c>
      <c r="L87" s="30"/>
      <c r="M87" s="30"/>
      <c r="N87" s="31"/>
      <c r="O87" s="31"/>
      <c r="P87" s="31"/>
      <c r="Q87" s="31"/>
      <c r="R87" s="30"/>
      <c r="S87" s="30"/>
      <c r="T87" s="208"/>
      <c r="U87" s="208"/>
      <c r="V87" s="250">
        <v>9.86</v>
      </c>
      <c r="W87" s="29" t="s">
        <v>1704</v>
      </c>
      <c r="X87" s="193"/>
      <c r="Y87" s="256"/>
      <c r="Z87" s="299"/>
      <c r="AA87" s="32"/>
      <c r="AB87" s="32"/>
      <c r="AC87" s="35"/>
      <c r="AD87" s="32"/>
      <c r="AE87" s="34"/>
      <c r="AF87" s="34"/>
      <c r="AG87" s="34"/>
      <c r="AH87" s="34"/>
      <c r="AI87" s="35"/>
      <c r="AJ87" s="35"/>
      <c r="AK87" s="214"/>
      <c r="AL87" s="214"/>
      <c r="AM87" s="198"/>
      <c r="AN87" s="305"/>
      <c r="AO87" s="239"/>
      <c r="AP87" s="166">
        <v>0</v>
      </c>
      <c r="AQ87" s="167">
        <v>73</v>
      </c>
      <c r="AR87" s="168" t="s">
        <v>144</v>
      </c>
      <c r="AS87" s="169" t="s">
        <v>33</v>
      </c>
      <c r="AT87" s="156"/>
    </row>
    <row r="88" spans="1:49" ht="31.5" x14ac:dyDescent="0.2">
      <c r="A88" s="23" t="s">
        <v>411</v>
      </c>
      <c r="B88" s="498" t="s">
        <v>1807</v>
      </c>
      <c r="C88" s="499">
        <f>149.1-132.938</f>
        <v>16.162000000000006</v>
      </c>
      <c r="D88" s="497">
        <f t="shared" si="2"/>
        <v>16.420000000000002</v>
      </c>
      <c r="E88" s="497">
        <f t="shared" si="3"/>
        <v>0.25799999999999557</v>
      </c>
      <c r="F88" s="25" t="s">
        <v>36</v>
      </c>
      <c r="G88" s="38" t="s">
        <v>412</v>
      </c>
      <c r="H88" s="188"/>
      <c r="I88" s="328" t="s">
        <v>1702</v>
      </c>
      <c r="J88" s="250">
        <v>16.420000000000002</v>
      </c>
      <c r="K88" s="29" t="s">
        <v>1703</v>
      </c>
      <c r="L88" s="30"/>
      <c r="M88" s="30"/>
      <c r="N88" s="31"/>
      <c r="O88" s="31"/>
      <c r="P88" s="31"/>
      <c r="Q88" s="31"/>
      <c r="R88" s="30">
        <v>8</v>
      </c>
      <c r="S88" s="30"/>
      <c r="T88" s="208"/>
      <c r="U88" s="208"/>
      <c r="V88" s="250">
        <v>16.420000000000002</v>
      </c>
      <c r="W88" s="29" t="s">
        <v>1703</v>
      </c>
      <c r="X88" s="193"/>
      <c r="Y88" s="256"/>
      <c r="Z88" s="306"/>
      <c r="AA88" s="65"/>
      <c r="AB88" s="65"/>
      <c r="AC88" s="67"/>
      <c r="AD88" s="65"/>
      <c r="AE88" s="66"/>
      <c r="AF88" s="66"/>
      <c r="AG88" s="66"/>
      <c r="AH88" s="66"/>
      <c r="AI88" s="67"/>
      <c r="AJ88" s="67"/>
      <c r="AK88" s="217"/>
      <c r="AL88" s="217"/>
      <c r="AM88" s="198"/>
      <c r="AN88" s="305"/>
      <c r="AO88" s="239"/>
      <c r="AP88" s="166">
        <v>0</v>
      </c>
      <c r="AQ88" s="167">
        <v>109</v>
      </c>
      <c r="AR88" s="171" t="s">
        <v>1</v>
      </c>
      <c r="AS88" s="172" t="s">
        <v>1</v>
      </c>
      <c r="AT88" s="156"/>
    </row>
    <row r="89" spans="1:49" ht="42" x14ac:dyDescent="0.2">
      <c r="A89" s="23" t="s">
        <v>413</v>
      </c>
      <c r="B89" s="498" t="s">
        <v>414</v>
      </c>
      <c r="C89" s="499">
        <f>158.081-148.852</f>
        <v>9.228999999999985</v>
      </c>
      <c r="D89" s="497">
        <f t="shared" si="2"/>
        <v>9.228999999999985</v>
      </c>
      <c r="E89" s="497">
        <f t="shared" si="3"/>
        <v>0</v>
      </c>
      <c r="F89" s="25" t="s">
        <v>36</v>
      </c>
      <c r="G89" s="38" t="s">
        <v>415</v>
      </c>
      <c r="H89" s="188"/>
      <c r="I89" s="326"/>
      <c r="J89" s="250">
        <v>9.228999999999985</v>
      </c>
      <c r="K89" s="29" t="s">
        <v>416</v>
      </c>
      <c r="L89" s="30"/>
      <c r="M89" s="30"/>
      <c r="N89" s="31"/>
      <c r="O89" s="31"/>
      <c r="P89" s="31"/>
      <c r="Q89" s="31"/>
      <c r="R89" s="30"/>
      <c r="S89" s="30"/>
      <c r="T89" s="208"/>
      <c r="U89" s="208"/>
      <c r="V89" s="250">
        <v>9.228999999999985</v>
      </c>
      <c r="W89" s="29" t="s">
        <v>416</v>
      </c>
      <c r="X89" s="193"/>
      <c r="Y89" s="256"/>
      <c r="Z89" s="299"/>
      <c r="AA89" s="32"/>
      <c r="AB89" s="32"/>
      <c r="AC89" s="35"/>
      <c r="AD89" s="32"/>
      <c r="AE89" s="34"/>
      <c r="AF89" s="34"/>
      <c r="AG89" s="34"/>
      <c r="AH89" s="34"/>
      <c r="AI89" s="35"/>
      <c r="AJ89" s="35"/>
      <c r="AK89" s="214"/>
      <c r="AL89" s="214"/>
      <c r="AM89" s="198"/>
      <c r="AN89" s="305"/>
      <c r="AO89" s="239"/>
      <c r="AP89" s="166">
        <v>0</v>
      </c>
      <c r="AQ89" s="167">
        <v>65</v>
      </c>
      <c r="AR89" s="171" t="s">
        <v>1</v>
      </c>
      <c r="AS89" s="172" t="s">
        <v>1</v>
      </c>
      <c r="AT89" s="156"/>
    </row>
    <row r="90" spans="1:49" ht="52.5" x14ac:dyDescent="0.2">
      <c r="A90" s="23" t="s">
        <v>417</v>
      </c>
      <c r="B90" s="24" t="s">
        <v>418</v>
      </c>
      <c r="C90" s="90">
        <f>19.212-1.528</f>
        <v>17.684000000000001</v>
      </c>
      <c r="D90" s="422">
        <f t="shared" si="2"/>
        <v>17.684000000000001</v>
      </c>
      <c r="E90" s="422">
        <f t="shared" si="3"/>
        <v>0</v>
      </c>
      <c r="F90" s="25" t="s">
        <v>68</v>
      </c>
      <c r="G90" s="26" t="s">
        <v>419</v>
      </c>
      <c r="H90" s="188"/>
      <c r="I90" s="326"/>
      <c r="J90" s="250">
        <v>17.684000000000001</v>
      </c>
      <c r="K90" s="29" t="s">
        <v>420</v>
      </c>
      <c r="L90" s="30"/>
      <c r="M90" s="30"/>
      <c r="N90" s="31"/>
      <c r="O90" s="31"/>
      <c r="P90" s="31"/>
      <c r="Q90" s="31"/>
      <c r="R90" s="30"/>
      <c r="S90" s="30"/>
      <c r="T90" s="208"/>
      <c r="U90" s="208"/>
      <c r="V90" s="193"/>
      <c r="W90" s="199"/>
      <c r="X90" s="193"/>
      <c r="Y90" s="256"/>
      <c r="Z90" s="299"/>
      <c r="AA90" s="32"/>
      <c r="AB90" s="32"/>
      <c r="AC90" s="35"/>
      <c r="AD90" s="32"/>
      <c r="AE90" s="34"/>
      <c r="AF90" s="34"/>
      <c r="AG90" s="34"/>
      <c r="AH90" s="34"/>
      <c r="AI90" s="35"/>
      <c r="AJ90" s="35"/>
      <c r="AK90" s="214"/>
      <c r="AL90" s="214"/>
      <c r="AM90" s="198"/>
      <c r="AN90" s="305"/>
      <c r="AO90" s="239"/>
      <c r="AP90" s="166">
        <v>19</v>
      </c>
      <c r="AQ90" s="167">
        <v>121</v>
      </c>
      <c r="AR90" s="171" t="s">
        <v>1</v>
      </c>
      <c r="AS90" s="172" t="s">
        <v>1</v>
      </c>
    </row>
    <row r="91" spans="1:49" ht="31.5" x14ac:dyDescent="0.2">
      <c r="A91" s="23" t="s">
        <v>421</v>
      </c>
      <c r="B91" s="24" t="s">
        <v>422</v>
      </c>
      <c r="C91" s="90">
        <f>16.891-1.704</f>
        <v>15.186999999999998</v>
      </c>
      <c r="D91" s="422">
        <f t="shared" si="2"/>
        <v>15.186999999999998</v>
      </c>
      <c r="E91" s="422">
        <f t="shared" si="3"/>
        <v>0</v>
      </c>
      <c r="F91" s="25" t="s">
        <v>68</v>
      </c>
      <c r="G91" s="26" t="s">
        <v>423</v>
      </c>
      <c r="H91" s="188"/>
      <c r="I91" s="326"/>
      <c r="J91" s="250">
        <v>15.186999999999998</v>
      </c>
      <c r="K91" s="29" t="s">
        <v>424</v>
      </c>
      <c r="L91" s="30"/>
      <c r="M91" s="30"/>
      <c r="N91" s="31"/>
      <c r="O91" s="31"/>
      <c r="P91" s="31"/>
      <c r="Q91" s="31"/>
      <c r="R91" s="30"/>
      <c r="S91" s="30"/>
      <c r="T91" s="208"/>
      <c r="U91" s="208"/>
      <c r="V91" s="193"/>
      <c r="W91" s="199"/>
      <c r="X91" s="193"/>
      <c r="Y91" s="256"/>
      <c r="Z91" s="299"/>
      <c r="AA91" s="32"/>
      <c r="AB91" s="32"/>
      <c r="AC91" s="35"/>
      <c r="AD91" s="32"/>
      <c r="AE91" s="34"/>
      <c r="AF91" s="34"/>
      <c r="AG91" s="34"/>
      <c r="AH91" s="34"/>
      <c r="AI91" s="35"/>
      <c r="AJ91" s="35"/>
      <c r="AK91" s="214"/>
      <c r="AL91" s="214"/>
      <c r="AM91" s="198"/>
      <c r="AN91" s="305"/>
      <c r="AO91" s="239"/>
      <c r="AP91" s="166">
        <v>12</v>
      </c>
      <c r="AQ91" s="167">
        <v>119</v>
      </c>
      <c r="AR91" s="171" t="s">
        <v>1</v>
      </c>
      <c r="AS91" s="172" t="s">
        <v>1</v>
      </c>
    </row>
    <row r="92" spans="1:49" ht="52.5" x14ac:dyDescent="0.2">
      <c r="A92" s="23" t="s">
        <v>425</v>
      </c>
      <c r="B92" s="24" t="s">
        <v>426</v>
      </c>
      <c r="C92" s="90">
        <f>30.713-1.139</f>
        <v>29.574000000000002</v>
      </c>
      <c r="D92" s="422">
        <f t="shared" si="2"/>
        <v>29.574000000000002</v>
      </c>
      <c r="E92" s="422">
        <f t="shared" si="3"/>
        <v>0</v>
      </c>
      <c r="F92" s="25" t="s">
        <v>68</v>
      </c>
      <c r="G92" s="26" t="s">
        <v>427</v>
      </c>
      <c r="H92" s="188"/>
      <c r="I92" s="326"/>
      <c r="J92" s="250">
        <v>29.574000000000002</v>
      </c>
      <c r="K92" s="29" t="s">
        <v>428</v>
      </c>
      <c r="L92" s="30"/>
      <c r="M92" s="30"/>
      <c r="N92" s="31"/>
      <c r="O92" s="31"/>
      <c r="P92" s="31"/>
      <c r="Q92" s="31"/>
      <c r="R92" s="30"/>
      <c r="S92" s="30"/>
      <c r="T92" s="208"/>
      <c r="U92" s="208"/>
      <c r="V92" s="193"/>
      <c r="W92" s="199"/>
      <c r="X92" s="193"/>
      <c r="Y92" s="256"/>
      <c r="Z92" s="299"/>
      <c r="AA92" s="32"/>
      <c r="AB92" s="32"/>
      <c r="AC92" s="35"/>
      <c r="AD92" s="32"/>
      <c r="AE92" s="34"/>
      <c r="AF92" s="34"/>
      <c r="AG92" s="34"/>
      <c r="AH92" s="34"/>
      <c r="AI92" s="35"/>
      <c r="AJ92" s="35"/>
      <c r="AK92" s="214"/>
      <c r="AL92" s="214"/>
      <c r="AM92" s="198"/>
      <c r="AN92" s="305"/>
      <c r="AO92" s="239"/>
      <c r="AP92" s="166">
        <v>23</v>
      </c>
      <c r="AQ92" s="167">
        <v>200</v>
      </c>
      <c r="AR92" s="171" t="s">
        <v>1</v>
      </c>
      <c r="AS92" s="172" t="s">
        <v>1</v>
      </c>
    </row>
    <row r="93" spans="1:49" ht="31.5" x14ac:dyDescent="0.2">
      <c r="A93" s="23" t="s">
        <v>429</v>
      </c>
      <c r="B93" s="24" t="s">
        <v>430</v>
      </c>
      <c r="C93" s="90">
        <f>47.52-27.129</f>
        <v>20.391000000000002</v>
      </c>
      <c r="D93" s="422">
        <f t="shared" si="2"/>
        <v>20.391000000000002</v>
      </c>
      <c r="E93" s="422">
        <f t="shared" si="3"/>
        <v>0</v>
      </c>
      <c r="F93" s="25" t="s">
        <v>68</v>
      </c>
      <c r="G93" s="26" t="s">
        <v>431</v>
      </c>
      <c r="H93" s="188"/>
      <c r="I93" s="326"/>
      <c r="J93" s="250">
        <v>20.391000000000002</v>
      </c>
      <c r="K93" s="29" t="s">
        <v>432</v>
      </c>
      <c r="L93" s="30"/>
      <c r="M93" s="30"/>
      <c r="N93" s="31"/>
      <c r="O93" s="31"/>
      <c r="P93" s="31"/>
      <c r="Q93" s="31"/>
      <c r="R93" s="30"/>
      <c r="S93" s="30"/>
      <c r="T93" s="208"/>
      <c r="U93" s="208"/>
      <c r="V93" s="193"/>
      <c r="W93" s="199"/>
      <c r="X93" s="193"/>
      <c r="Y93" s="256"/>
      <c r="Z93" s="299"/>
      <c r="AA93" s="32"/>
      <c r="AB93" s="32"/>
      <c r="AC93" s="35"/>
      <c r="AD93" s="32"/>
      <c r="AE93" s="34"/>
      <c r="AF93" s="34"/>
      <c r="AG93" s="34"/>
      <c r="AH93" s="34"/>
      <c r="AI93" s="35"/>
      <c r="AJ93" s="35"/>
      <c r="AK93" s="214"/>
      <c r="AL93" s="214"/>
      <c r="AM93" s="198"/>
      <c r="AN93" s="305"/>
      <c r="AO93" s="239"/>
      <c r="AP93" s="166">
        <v>22</v>
      </c>
      <c r="AQ93" s="167">
        <v>120</v>
      </c>
      <c r="AR93" s="171" t="s">
        <v>1</v>
      </c>
      <c r="AS93" s="172" t="s">
        <v>1</v>
      </c>
    </row>
    <row r="94" spans="1:49" ht="42" x14ac:dyDescent="0.2">
      <c r="A94" s="23" t="s">
        <v>433</v>
      </c>
      <c r="B94" s="24" t="s">
        <v>434</v>
      </c>
      <c r="C94" s="90">
        <f>0.806-0.029</f>
        <v>0.77700000000000002</v>
      </c>
      <c r="D94" s="422">
        <f t="shared" si="2"/>
        <v>0.77700000000000002</v>
      </c>
      <c r="E94" s="422">
        <f t="shared" si="3"/>
        <v>0</v>
      </c>
      <c r="F94" s="25" t="s">
        <v>68</v>
      </c>
      <c r="G94" s="26" t="s">
        <v>435</v>
      </c>
      <c r="H94" s="188"/>
      <c r="I94" s="326"/>
      <c r="J94" s="250">
        <v>0.77700000000000002</v>
      </c>
      <c r="K94" s="29" t="s">
        <v>436</v>
      </c>
      <c r="L94" s="30"/>
      <c r="M94" s="30"/>
      <c r="N94" s="31"/>
      <c r="O94" s="31"/>
      <c r="P94" s="31"/>
      <c r="Q94" s="31"/>
      <c r="R94" s="30"/>
      <c r="S94" s="30"/>
      <c r="T94" s="208"/>
      <c r="U94" s="208"/>
      <c r="V94" s="193"/>
      <c r="W94" s="199"/>
      <c r="X94" s="193"/>
      <c r="Y94" s="256"/>
      <c r="Z94" s="299"/>
      <c r="AA94" s="32"/>
      <c r="AB94" s="32"/>
      <c r="AC94" s="35"/>
      <c r="AD94" s="32"/>
      <c r="AE94" s="34"/>
      <c r="AF94" s="34"/>
      <c r="AG94" s="34"/>
      <c r="AH94" s="34"/>
      <c r="AI94" s="35"/>
      <c r="AJ94" s="35"/>
      <c r="AK94" s="214"/>
      <c r="AL94" s="214"/>
      <c r="AM94" s="198"/>
      <c r="AN94" s="305"/>
      <c r="AO94" s="239"/>
      <c r="AP94" s="166">
        <v>0</v>
      </c>
      <c r="AQ94" s="167">
        <v>4</v>
      </c>
      <c r="AR94" s="171" t="s">
        <v>1</v>
      </c>
      <c r="AS94" s="172" t="s">
        <v>1</v>
      </c>
    </row>
    <row r="95" spans="1:49" ht="42" x14ac:dyDescent="0.2">
      <c r="A95" s="23" t="s">
        <v>437</v>
      </c>
      <c r="B95" s="24" t="s">
        <v>438</v>
      </c>
      <c r="C95" s="90">
        <f>0.773-0.033</f>
        <v>0.74</v>
      </c>
      <c r="D95" s="422">
        <f t="shared" si="2"/>
        <v>0.74</v>
      </c>
      <c r="E95" s="422">
        <f t="shared" si="3"/>
        <v>0</v>
      </c>
      <c r="F95" s="25" t="s">
        <v>68</v>
      </c>
      <c r="G95" s="26" t="s">
        <v>439</v>
      </c>
      <c r="H95" s="188"/>
      <c r="I95" s="326"/>
      <c r="J95" s="250">
        <v>0.74</v>
      </c>
      <c r="K95" s="29" t="s">
        <v>440</v>
      </c>
      <c r="L95" s="30"/>
      <c r="M95" s="30"/>
      <c r="N95" s="31"/>
      <c r="O95" s="31"/>
      <c r="P95" s="31"/>
      <c r="Q95" s="31"/>
      <c r="R95" s="30"/>
      <c r="S95" s="30"/>
      <c r="T95" s="208"/>
      <c r="U95" s="208"/>
      <c r="V95" s="193"/>
      <c r="W95" s="199"/>
      <c r="X95" s="193"/>
      <c r="Y95" s="256"/>
      <c r="Z95" s="299"/>
      <c r="AA95" s="32"/>
      <c r="AB95" s="32"/>
      <c r="AC95" s="35"/>
      <c r="AD95" s="32"/>
      <c r="AE95" s="34"/>
      <c r="AF95" s="34"/>
      <c r="AG95" s="34"/>
      <c r="AH95" s="34"/>
      <c r="AI95" s="35"/>
      <c r="AJ95" s="35"/>
      <c r="AK95" s="214"/>
      <c r="AL95" s="214"/>
      <c r="AM95" s="198"/>
      <c r="AN95" s="305"/>
      <c r="AO95" s="239"/>
      <c r="AP95" s="166">
        <v>0</v>
      </c>
      <c r="AQ95" s="167">
        <v>3</v>
      </c>
      <c r="AR95" s="171" t="s">
        <v>1</v>
      </c>
      <c r="AS95" s="172" t="s">
        <v>1</v>
      </c>
    </row>
    <row r="96" spans="1:49" ht="31.5" x14ac:dyDescent="0.2">
      <c r="A96" s="23" t="s">
        <v>441</v>
      </c>
      <c r="B96" s="498" t="s">
        <v>442</v>
      </c>
      <c r="C96" s="499">
        <f>13.851-0.614</f>
        <v>13.237</v>
      </c>
      <c r="D96" s="497">
        <f t="shared" si="2"/>
        <v>13.237</v>
      </c>
      <c r="E96" s="497">
        <f t="shared" si="3"/>
        <v>0</v>
      </c>
      <c r="F96" s="25" t="s">
        <v>36</v>
      </c>
      <c r="G96" s="38" t="s">
        <v>443</v>
      </c>
      <c r="H96" s="188"/>
      <c r="I96" s="326"/>
      <c r="J96" s="250">
        <v>13.237</v>
      </c>
      <c r="K96" s="29" t="s">
        <v>444</v>
      </c>
      <c r="L96" s="30"/>
      <c r="M96" s="30"/>
      <c r="N96" s="31"/>
      <c r="O96" s="31"/>
      <c r="P96" s="31"/>
      <c r="Q96" s="31"/>
      <c r="R96" s="30">
        <v>7</v>
      </c>
      <c r="S96" s="30"/>
      <c r="T96" s="208"/>
      <c r="U96" s="208"/>
      <c r="V96" s="250">
        <v>13.237</v>
      </c>
      <c r="W96" s="29" t="s">
        <v>444</v>
      </c>
      <c r="X96" s="193"/>
      <c r="Y96" s="256"/>
      <c r="Z96" s="299"/>
      <c r="AA96" s="32"/>
      <c r="AB96" s="32"/>
      <c r="AC96" s="35"/>
      <c r="AD96" s="32"/>
      <c r="AE96" s="34"/>
      <c r="AF96" s="34"/>
      <c r="AG96" s="34"/>
      <c r="AH96" s="34"/>
      <c r="AI96" s="35"/>
      <c r="AJ96" s="35"/>
      <c r="AK96" s="214"/>
      <c r="AL96" s="214"/>
      <c r="AM96" s="198"/>
      <c r="AN96" s="305"/>
      <c r="AO96" s="239"/>
      <c r="AP96" s="166">
        <v>0</v>
      </c>
      <c r="AQ96" s="167">
        <v>63</v>
      </c>
      <c r="AR96" s="171" t="s">
        <v>1</v>
      </c>
      <c r="AS96" s="172" t="s">
        <v>1</v>
      </c>
      <c r="AT96" s="156"/>
    </row>
    <row r="97" spans="1:50" ht="31.5" x14ac:dyDescent="0.2">
      <c r="A97" s="23" t="s">
        <v>445</v>
      </c>
      <c r="B97" s="498" t="s">
        <v>446</v>
      </c>
      <c r="C97" s="499">
        <f>20.184-0.675</f>
        <v>19.509</v>
      </c>
      <c r="D97" s="497">
        <f t="shared" si="2"/>
        <v>19.509</v>
      </c>
      <c r="E97" s="497">
        <f t="shared" si="3"/>
        <v>0</v>
      </c>
      <c r="F97" s="25" t="s">
        <v>36</v>
      </c>
      <c r="G97" s="38" t="s">
        <v>447</v>
      </c>
      <c r="H97" s="188"/>
      <c r="I97" s="326"/>
      <c r="J97" s="250">
        <v>19.509</v>
      </c>
      <c r="K97" s="29" t="s">
        <v>448</v>
      </c>
      <c r="L97" s="30"/>
      <c r="M97" s="30"/>
      <c r="N97" s="31"/>
      <c r="O97" s="31"/>
      <c r="P97" s="31"/>
      <c r="Q97" s="31"/>
      <c r="R97" s="30">
        <v>10</v>
      </c>
      <c r="S97" s="30"/>
      <c r="T97" s="208"/>
      <c r="U97" s="208"/>
      <c r="V97" s="250">
        <v>19.509</v>
      </c>
      <c r="W97" s="29" t="s">
        <v>448</v>
      </c>
      <c r="X97" s="193"/>
      <c r="Y97" s="256"/>
      <c r="Z97" s="299"/>
      <c r="AA97" s="32"/>
      <c r="AB97" s="32"/>
      <c r="AC97" s="35"/>
      <c r="AD97" s="32"/>
      <c r="AE97" s="34"/>
      <c r="AF97" s="34"/>
      <c r="AG97" s="34"/>
      <c r="AH97" s="34"/>
      <c r="AI97" s="35"/>
      <c r="AJ97" s="35"/>
      <c r="AK97" s="214"/>
      <c r="AL97" s="214"/>
      <c r="AM97" s="198"/>
      <c r="AN97" s="305"/>
      <c r="AO97" s="239"/>
      <c r="AP97" s="166">
        <v>0</v>
      </c>
      <c r="AQ97" s="167">
        <v>96</v>
      </c>
      <c r="AR97" s="171" t="s">
        <v>1</v>
      </c>
      <c r="AS97" s="172" t="s">
        <v>1</v>
      </c>
      <c r="AT97" s="156"/>
    </row>
    <row r="98" spans="1:50" ht="31.5" x14ac:dyDescent="0.2">
      <c r="A98" s="23" t="s">
        <v>449</v>
      </c>
      <c r="B98" s="24" t="s">
        <v>450</v>
      </c>
      <c r="C98" s="90">
        <f>42.971-0.023</f>
        <v>42.947999999999993</v>
      </c>
      <c r="D98" s="422">
        <f t="shared" si="2"/>
        <v>42.947999999999993</v>
      </c>
      <c r="E98" s="422">
        <f t="shared" si="3"/>
        <v>0</v>
      </c>
      <c r="F98" s="25" t="s">
        <v>68</v>
      </c>
      <c r="G98" s="26" t="s">
        <v>451</v>
      </c>
      <c r="H98" s="188"/>
      <c r="I98" s="326"/>
      <c r="J98" s="250">
        <v>42.947999999999993</v>
      </c>
      <c r="K98" s="29" t="s">
        <v>452</v>
      </c>
      <c r="L98" s="30"/>
      <c r="M98" s="30"/>
      <c r="N98" s="31"/>
      <c r="O98" s="31"/>
      <c r="P98" s="31"/>
      <c r="Q98" s="31"/>
      <c r="R98" s="30"/>
      <c r="S98" s="30"/>
      <c r="T98" s="208"/>
      <c r="U98" s="208"/>
      <c r="V98" s="193"/>
      <c r="W98" s="199"/>
      <c r="X98" s="193"/>
      <c r="Y98" s="256"/>
      <c r="Z98" s="299"/>
      <c r="AA98" s="32"/>
      <c r="AB98" s="32"/>
      <c r="AC98" s="35"/>
      <c r="AD98" s="32"/>
      <c r="AE98" s="34"/>
      <c r="AF98" s="34"/>
      <c r="AG98" s="34"/>
      <c r="AH98" s="34"/>
      <c r="AI98" s="35"/>
      <c r="AJ98" s="35"/>
      <c r="AK98" s="214"/>
      <c r="AL98" s="214"/>
      <c r="AM98" s="198"/>
      <c r="AN98" s="305"/>
      <c r="AO98" s="239"/>
      <c r="AP98" s="166">
        <v>33</v>
      </c>
      <c r="AQ98" s="167">
        <v>288</v>
      </c>
      <c r="AR98" s="171" t="s">
        <v>1</v>
      </c>
      <c r="AS98" s="172" t="s">
        <v>1</v>
      </c>
    </row>
    <row r="99" spans="1:50" ht="31.5" x14ac:dyDescent="0.2">
      <c r="A99" s="23" t="s">
        <v>453</v>
      </c>
      <c r="B99" s="24" t="s">
        <v>454</v>
      </c>
      <c r="C99" s="90">
        <f>43.771-0.653</f>
        <v>43.118000000000002</v>
      </c>
      <c r="D99" s="422">
        <f t="shared" si="2"/>
        <v>43.121000000000002</v>
      </c>
      <c r="E99" s="422">
        <f t="shared" si="3"/>
        <v>3.0000000000001137E-3</v>
      </c>
      <c r="F99" s="25" t="s">
        <v>68</v>
      </c>
      <c r="G99" s="26" t="s">
        <v>455</v>
      </c>
      <c r="H99" s="188"/>
      <c r="I99" s="326"/>
      <c r="J99" s="250">
        <v>43.121000000000002</v>
      </c>
      <c r="K99" s="40" t="s">
        <v>456</v>
      </c>
      <c r="L99" s="41"/>
      <c r="M99" s="41"/>
      <c r="N99" s="42"/>
      <c r="O99" s="42"/>
      <c r="P99" s="42"/>
      <c r="Q99" s="42"/>
      <c r="R99" s="41"/>
      <c r="S99" s="41"/>
      <c r="T99" s="196"/>
      <c r="U99" s="196"/>
      <c r="V99" s="193"/>
      <c r="W99" s="199"/>
      <c r="X99" s="193"/>
      <c r="Y99" s="256"/>
      <c r="Z99" s="299"/>
      <c r="AA99" s="32"/>
      <c r="AB99" s="32"/>
      <c r="AC99" s="35"/>
      <c r="AD99" s="32"/>
      <c r="AE99" s="34"/>
      <c r="AF99" s="34"/>
      <c r="AG99" s="34"/>
      <c r="AH99" s="34"/>
      <c r="AI99" s="35"/>
      <c r="AJ99" s="35"/>
      <c r="AK99" s="214"/>
      <c r="AL99" s="214"/>
      <c r="AM99" s="198"/>
      <c r="AN99" s="305"/>
      <c r="AO99" s="239"/>
      <c r="AP99" s="166">
        <v>24</v>
      </c>
      <c r="AQ99" s="167">
        <v>254</v>
      </c>
      <c r="AR99" s="171" t="s">
        <v>1</v>
      </c>
      <c r="AS99" s="172" t="s">
        <v>1</v>
      </c>
    </row>
    <row r="100" spans="1:50" ht="31.5" x14ac:dyDescent="0.2">
      <c r="A100" s="23" t="s">
        <v>457</v>
      </c>
      <c r="B100" s="24" t="s">
        <v>458</v>
      </c>
      <c r="C100" s="90">
        <f>0.889-0.066</f>
        <v>0.82299999999999995</v>
      </c>
      <c r="D100" s="422">
        <f t="shared" si="2"/>
        <v>0.82299999999999995</v>
      </c>
      <c r="E100" s="422">
        <f t="shared" si="3"/>
        <v>0</v>
      </c>
      <c r="F100" s="25" t="s">
        <v>68</v>
      </c>
      <c r="G100" s="26" t="s">
        <v>459</v>
      </c>
      <c r="H100" s="188"/>
      <c r="I100" s="327" t="s">
        <v>458</v>
      </c>
      <c r="J100" s="250">
        <v>0.82299999999999995</v>
      </c>
      <c r="K100" s="29" t="s">
        <v>460</v>
      </c>
      <c r="L100" s="30"/>
      <c r="M100" s="30"/>
      <c r="N100" s="31"/>
      <c r="O100" s="31"/>
      <c r="P100" s="31"/>
      <c r="Q100" s="31"/>
      <c r="R100" s="30"/>
      <c r="S100" s="30"/>
      <c r="T100" s="208"/>
      <c r="U100" s="208"/>
      <c r="V100" s="193"/>
      <c r="W100" s="199"/>
      <c r="X100" s="193"/>
      <c r="Y100" s="256"/>
      <c r="Z100" s="299"/>
      <c r="AA100" s="32"/>
      <c r="AB100" s="32"/>
      <c r="AC100" s="35"/>
      <c r="AD100" s="32"/>
      <c r="AE100" s="34"/>
      <c r="AF100" s="34"/>
      <c r="AG100" s="34"/>
      <c r="AH100" s="34"/>
      <c r="AI100" s="35"/>
      <c r="AJ100" s="35"/>
      <c r="AK100" s="214"/>
      <c r="AL100" s="214"/>
      <c r="AM100" s="198"/>
      <c r="AN100" s="305"/>
      <c r="AO100" s="239"/>
      <c r="AP100" s="166">
        <v>0</v>
      </c>
      <c r="AQ100" s="167" t="s">
        <v>461</v>
      </c>
      <c r="AR100" s="171" t="s">
        <v>1</v>
      </c>
      <c r="AS100" s="172" t="s">
        <v>1</v>
      </c>
    </row>
    <row r="101" spans="1:50" ht="31.5" x14ac:dyDescent="0.2">
      <c r="A101" s="23" t="s">
        <v>462</v>
      </c>
      <c r="B101" s="24" t="s">
        <v>463</v>
      </c>
      <c r="C101" s="90">
        <f>0.845-0.32</f>
        <v>0.52499999999999991</v>
      </c>
      <c r="D101" s="422">
        <f t="shared" si="2"/>
        <v>0.52499999999999991</v>
      </c>
      <c r="E101" s="422">
        <f t="shared" si="3"/>
        <v>0</v>
      </c>
      <c r="F101" s="25" t="s">
        <v>68</v>
      </c>
      <c r="G101" s="26" t="s">
        <v>464</v>
      </c>
      <c r="H101" s="188"/>
      <c r="I101" s="327" t="s">
        <v>463</v>
      </c>
      <c r="J101" s="250">
        <v>0.52499999999999991</v>
      </c>
      <c r="K101" s="29" t="s">
        <v>465</v>
      </c>
      <c r="L101" s="30"/>
      <c r="M101" s="30"/>
      <c r="N101" s="31"/>
      <c r="O101" s="31"/>
      <c r="P101" s="31"/>
      <c r="Q101" s="31"/>
      <c r="R101" s="30"/>
      <c r="S101" s="30"/>
      <c r="T101" s="208"/>
      <c r="U101" s="208"/>
      <c r="V101" s="193"/>
      <c r="W101" s="199"/>
      <c r="X101" s="193"/>
      <c r="Y101" s="256"/>
      <c r="Z101" s="299"/>
      <c r="AA101" s="32"/>
      <c r="AB101" s="32"/>
      <c r="AC101" s="35"/>
      <c r="AD101" s="32"/>
      <c r="AE101" s="34"/>
      <c r="AF101" s="34"/>
      <c r="AG101" s="34"/>
      <c r="AH101" s="34"/>
      <c r="AI101" s="35"/>
      <c r="AJ101" s="35"/>
      <c r="AK101" s="214"/>
      <c r="AL101" s="214"/>
      <c r="AM101" s="198"/>
      <c r="AN101" s="305"/>
      <c r="AO101" s="239"/>
      <c r="AP101" s="166">
        <v>0</v>
      </c>
      <c r="AQ101" s="167">
        <v>2</v>
      </c>
      <c r="AR101" s="171" t="s">
        <v>1</v>
      </c>
      <c r="AS101" s="172" t="s">
        <v>1</v>
      </c>
    </row>
    <row r="102" spans="1:50" ht="42" x14ac:dyDescent="0.2">
      <c r="A102" s="23" t="s">
        <v>466</v>
      </c>
      <c r="B102" s="24" t="s">
        <v>467</v>
      </c>
      <c r="C102" s="90">
        <f>5.071-0.199</f>
        <v>4.8719999999999999</v>
      </c>
      <c r="D102" s="422">
        <f t="shared" si="2"/>
        <v>4.8719999999999999</v>
      </c>
      <c r="E102" s="422">
        <f t="shared" si="3"/>
        <v>0</v>
      </c>
      <c r="F102" s="25" t="s">
        <v>68</v>
      </c>
      <c r="G102" s="26" t="s">
        <v>468</v>
      </c>
      <c r="H102" s="188"/>
      <c r="I102" s="327" t="s">
        <v>467</v>
      </c>
      <c r="J102" s="250">
        <v>4.8719999999999999</v>
      </c>
      <c r="K102" s="29" t="s">
        <v>469</v>
      </c>
      <c r="L102" s="30">
        <v>2</v>
      </c>
      <c r="M102" s="30" t="s">
        <v>470</v>
      </c>
      <c r="N102" s="31">
        <v>4</v>
      </c>
      <c r="O102" s="31">
        <v>0</v>
      </c>
      <c r="P102" s="31">
        <v>0</v>
      </c>
      <c r="Q102" s="31">
        <v>0</v>
      </c>
      <c r="R102" s="30"/>
      <c r="S102" s="30"/>
      <c r="T102" s="208"/>
      <c r="U102" s="208"/>
      <c r="V102" s="193"/>
      <c r="W102" s="199"/>
      <c r="X102" s="193"/>
      <c r="Y102" s="256"/>
      <c r="Z102" s="299"/>
      <c r="AA102" s="32"/>
      <c r="AB102" s="32"/>
      <c r="AC102" s="35"/>
      <c r="AD102" s="32"/>
      <c r="AE102" s="34"/>
      <c r="AF102" s="34"/>
      <c r="AG102" s="34"/>
      <c r="AH102" s="34"/>
      <c r="AI102" s="35"/>
      <c r="AJ102" s="35"/>
      <c r="AK102" s="214"/>
      <c r="AL102" s="214"/>
      <c r="AM102" s="198"/>
      <c r="AN102" s="305"/>
      <c r="AO102" s="239"/>
      <c r="AP102" s="166">
        <v>4</v>
      </c>
      <c r="AQ102" s="167">
        <v>34</v>
      </c>
      <c r="AR102" s="171" t="s">
        <v>1</v>
      </c>
      <c r="AS102" s="172" t="s">
        <v>1</v>
      </c>
    </row>
    <row r="103" spans="1:50" ht="31.5" x14ac:dyDescent="0.2">
      <c r="A103" s="23" t="s">
        <v>471</v>
      </c>
      <c r="B103" s="24" t="s">
        <v>472</v>
      </c>
      <c r="C103" s="90">
        <f>1.588-0.111</f>
        <v>1.4770000000000001</v>
      </c>
      <c r="D103" s="422">
        <f t="shared" si="2"/>
        <v>1.4770000000000001</v>
      </c>
      <c r="E103" s="422">
        <f t="shared" si="3"/>
        <v>0</v>
      </c>
      <c r="F103" s="25" t="s">
        <v>68</v>
      </c>
      <c r="G103" s="26" t="s">
        <v>473</v>
      </c>
      <c r="H103" s="188"/>
      <c r="I103" s="327" t="s">
        <v>472</v>
      </c>
      <c r="J103" s="250">
        <v>1.4770000000000001</v>
      </c>
      <c r="K103" s="29" t="s">
        <v>474</v>
      </c>
      <c r="L103" s="30">
        <v>1.6</v>
      </c>
      <c r="M103" s="30" t="s">
        <v>475</v>
      </c>
      <c r="N103" s="31">
        <v>8</v>
      </c>
      <c r="O103" s="31">
        <v>0</v>
      </c>
      <c r="P103" s="31">
        <v>0</v>
      </c>
      <c r="Q103" s="31">
        <v>0</v>
      </c>
      <c r="R103" s="30"/>
      <c r="S103" s="30"/>
      <c r="T103" s="208"/>
      <c r="U103" s="208"/>
      <c r="V103" s="193"/>
      <c r="W103" s="199"/>
      <c r="X103" s="193"/>
      <c r="Y103" s="256"/>
      <c r="Z103" s="299"/>
      <c r="AA103" s="32"/>
      <c r="AB103" s="32"/>
      <c r="AC103" s="35"/>
      <c r="AD103" s="32"/>
      <c r="AE103" s="34"/>
      <c r="AF103" s="34"/>
      <c r="AG103" s="34"/>
      <c r="AH103" s="34"/>
      <c r="AI103" s="35"/>
      <c r="AJ103" s="35"/>
      <c r="AK103" s="214"/>
      <c r="AL103" s="214"/>
      <c r="AM103" s="198"/>
      <c r="AN103" s="305"/>
      <c r="AO103" s="239"/>
      <c r="AP103" s="166">
        <v>8</v>
      </c>
      <c r="AQ103" s="167">
        <v>0</v>
      </c>
      <c r="AR103" s="171" t="s">
        <v>60</v>
      </c>
      <c r="AS103" s="172" t="s">
        <v>1</v>
      </c>
    </row>
    <row r="104" spans="1:50" ht="52.5" x14ac:dyDescent="0.2">
      <c r="A104" s="23" t="s">
        <v>476</v>
      </c>
      <c r="B104" s="24" t="s">
        <v>477</v>
      </c>
      <c r="C104" s="90">
        <f>540.164-410.936</f>
        <v>129.22800000000001</v>
      </c>
      <c r="D104" s="422">
        <f t="shared" si="2"/>
        <v>129.22800000000001</v>
      </c>
      <c r="E104" s="422">
        <f t="shared" si="3"/>
        <v>0</v>
      </c>
      <c r="F104" s="25" t="s">
        <v>26</v>
      </c>
      <c r="G104" s="38" t="s">
        <v>478</v>
      </c>
      <c r="H104" s="188"/>
      <c r="I104" s="326" t="s">
        <v>477</v>
      </c>
      <c r="J104" s="250">
        <v>126.16800000000001</v>
      </c>
      <c r="K104" s="40" t="s">
        <v>479</v>
      </c>
      <c r="L104" s="41" t="s">
        <v>481</v>
      </c>
      <c r="M104" s="41" t="s">
        <v>480</v>
      </c>
      <c r="N104" s="42">
        <v>27</v>
      </c>
      <c r="O104" s="42">
        <v>0</v>
      </c>
      <c r="P104" s="42">
        <v>0</v>
      </c>
      <c r="Q104" s="42">
        <v>0</v>
      </c>
      <c r="R104" s="41"/>
      <c r="S104" s="41"/>
      <c r="T104" s="41"/>
      <c r="U104" s="483"/>
      <c r="V104" s="28">
        <v>126.16800000000001</v>
      </c>
      <c r="W104" s="40" t="s">
        <v>479</v>
      </c>
      <c r="X104" s="149"/>
      <c r="Y104" s="253"/>
      <c r="Z104" s="309">
        <v>3.0600000000000023</v>
      </c>
      <c r="AA104" s="83" t="s">
        <v>482</v>
      </c>
      <c r="AB104" s="83">
        <v>3.06</v>
      </c>
      <c r="AC104" s="84"/>
      <c r="AD104" s="83"/>
      <c r="AE104" s="85"/>
      <c r="AF104" s="85"/>
      <c r="AG104" s="85"/>
      <c r="AH104" s="85"/>
      <c r="AI104" s="84"/>
      <c r="AJ104" s="84"/>
      <c r="AK104" s="84"/>
      <c r="AL104" s="84"/>
      <c r="AM104" s="98"/>
      <c r="AN104" s="298"/>
      <c r="AO104" s="239" t="s">
        <v>483</v>
      </c>
      <c r="AP104" s="167">
        <v>27</v>
      </c>
      <c r="AQ104" s="167">
        <v>747</v>
      </c>
      <c r="AR104" s="171" t="s">
        <v>1</v>
      </c>
      <c r="AS104" s="172" t="s">
        <v>1</v>
      </c>
      <c r="AT104" s="156">
        <v>492.99200000000002</v>
      </c>
      <c r="AU104" s="156">
        <v>495.726</v>
      </c>
      <c r="AV104" s="156">
        <f t="shared" ref="AV104" si="5">AU104-AT104</f>
        <v>2.7339999999999804</v>
      </c>
      <c r="AW104" s="156">
        <v>35</v>
      </c>
      <c r="AX104" s="156">
        <v>35</v>
      </c>
    </row>
    <row r="105" spans="1:50" ht="31.5" x14ac:dyDescent="0.2">
      <c r="A105" s="23" t="s">
        <v>484</v>
      </c>
      <c r="B105" s="498" t="s">
        <v>485</v>
      </c>
      <c r="C105" s="499">
        <f>22.8-1.026</f>
        <v>21.774000000000001</v>
      </c>
      <c r="D105" s="497">
        <f t="shared" si="2"/>
        <v>10.833</v>
      </c>
      <c r="E105" s="497">
        <f t="shared" si="3"/>
        <v>-10.941000000000001</v>
      </c>
      <c r="F105" s="25" t="s">
        <v>36</v>
      </c>
      <c r="G105" s="38" t="s">
        <v>486</v>
      </c>
      <c r="H105" s="188"/>
      <c r="I105" s="326" t="s">
        <v>487</v>
      </c>
      <c r="J105" s="250">
        <v>8.7789999999999999</v>
      </c>
      <c r="K105" s="29" t="s">
        <v>488</v>
      </c>
      <c r="L105" s="30"/>
      <c r="M105" s="30"/>
      <c r="N105" s="31"/>
      <c r="O105" s="31"/>
      <c r="P105" s="31"/>
      <c r="Q105" s="31"/>
      <c r="R105" s="30"/>
      <c r="S105" s="30"/>
      <c r="T105" s="208"/>
      <c r="U105" s="208"/>
      <c r="V105" s="250">
        <v>8.7789999999999999</v>
      </c>
      <c r="W105" s="29" t="s">
        <v>488</v>
      </c>
      <c r="X105" s="193"/>
      <c r="Y105" s="256"/>
      <c r="Z105" s="301">
        <v>2.0539999999999998</v>
      </c>
      <c r="AA105" s="53" t="s">
        <v>489</v>
      </c>
      <c r="AB105" s="83">
        <v>2.0539999999999998</v>
      </c>
      <c r="AC105" s="56"/>
      <c r="AD105" s="53"/>
      <c r="AE105" s="55"/>
      <c r="AF105" s="55"/>
      <c r="AG105" s="55"/>
      <c r="AH105" s="55"/>
      <c r="AI105" s="56"/>
      <c r="AJ105" s="56"/>
      <c r="AK105" s="219"/>
      <c r="AL105" s="219"/>
      <c r="AM105" s="200"/>
      <c r="AN105" s="303"/>
      <c r="AO105" s="239"/>
      <c r="AP105" s="166">
        <v>0</v>
      </c>
      <c r="AQ105" s="167">
        <v>51</v>
      </c>
      <c r="AR105" s="171" t="s">
        <v>1</v>
      </c>
      <c r="AS105" s="172" t="s">
        <v>1</v>
      </c>
      <c r="AT105" s="156"/>
    </row>
    <row r="106" spans="1:50" ht="31.5" x14ac:dyDescent="0.2">
      <c r="A106" s="23" t="s">
        <v>490</v>
      </c>
      <c r="B106" s="24" t="s">
        <v>491</v>
      </c>
      <c r="C106" s="90">
        <f>3.397-0.471</f>
        <v>2.9259999999999997</v>
      </c>
      <c r="D106" s="422">
        <f t="shared" si="2"/>
        <v>2.9259999999999997</v>
      </c>
      <c r="E106" s="422">
        <f t="shared" si="3"/>
        <v>0</v>
      </c>
      <c r="F106" s="25" t="s">
        <v>68</v>
      </c>
      <c r="G106" s="26" t="s">
        <v>492</v>
      </c>
      <c r="H106" s="188"/>
      <c r="I106" s="326"/>
      <c r="J106" s="250">
        <v>2.9259999999999997</v>
      </c>
      <c r="K106" s="29" t="s">
        <v>493</v>
      </c>
      <c r="L106" s="30"/>
      <c r="M106" s="30"/>
      <c r="N106" s="31"/>
      <c r="O106" s="31"/>
      <c r="P106" s="31"/>
      <c r="Q106" s="31"/>
      <c r="R106" s="30"/>
      <c r="S106" s="30"/>
      <c r="T106" s="208"/>
      <c r="U106" s="208"/>
      <c r="V106" s="193"/>
      <c r="W106" s="199"/>
      <c r="X106" s="193"/>
      <c r="Y106" s="256"/>
      <c r="Z106" s="299"/>
      <c r="AA106" s="32"/>
      <c r="AB106" s="32"/>
      <c r="AC106" s="35"/>
      <c r="AD106" s="32"/>
      <c r="AE106" s="34"/>
      <c r="AF106" s="34"/>
      <c r="AG106" s="34"/>
      <c r="AH106" s="34"/>
      <c r="AI106" s="35"/>
      <c r="AJ106" s="35"/>
      <c r="AK106" s="214"/>
      <c r="AL106" s="214"/>
      <c r="AM106" s="200"/>
      <c r="AN106" s="303"/>
      <c r="AO106" s="239"/>
      <c r="AP106" s="166">
        <v>0</v>
      </c>
      <c r="AQ106" s="167">
        <v>15</v>
      </c>
      <c r="AR106" s="171" t="s">
        <v>1</v>
      </c>
      <c r="AS106" s="172" t="s">
        <v>1</v>
      </c>
    </row>
    <row r="107" spans="1:50" ht="31.5" x14ac:dyDescent="0.2">
      <c r="A107" s="23" t="s">
        <v>494</v>
      </c>
      <c r="B107" s="24" t="s">
        <v>495</v>
      </c>
      <c r="C107" s="90">
        <f>24.385-0.62</f>
        <v>23.765000000000001</v>
      </c>
      <c r="D107" s="422">
        <f t="shared" si="2"/>
        <v>23.702000000000002</v>
      </c>
      <c r="E107" s="422">
        <f t="shared" si="3"/>
        <v>-6.2999999999998835E-2</v>
      </c>
      <c r="F107" s="25" t="s">
        <v>68</v>
      </c>
      <c r="G107" s="26" t="s">
        <v>496</v>
      </c>
      <c r="H107" s="188" t="s">
        <v>497</v>
      </c>
      <c r="I107" s="326"/>
      <c r="J107" s="250">
        <v>23.702000000000002</v>
      </c>
      <c r="K107" s="29" t="s">
        <v>495</v>
      </c>
      <c r="L107" s="30"/>
      <c r="M107" s="30"/>
      <c r="N107" s="31"/>
      <c r="O107" s="31"/>
      <c r="P107" s="31"/>
      <c r="Q107" s="31"/>
      <c r="R107" s="30"/>
      <c r="S107" s="30"/>
      <c r="T107" s="208"/>
      <c r="U107" s="208"/>
      <c r="V107" s="193"/>
      <c r="W107" s="199"/>
      <c r="X107" s="193"/>
      <c r="Y107" s="256"/>
      <c r="Z107" s="299"/>
      <c r="AA107" s="32"/>
      <c r="AB107" s="32"/>
      <c r="AC107" s="35"/>
      <c r="AD107" s="32"/>
      <c r="AE107" s="34"/>
      <c r="AF107" s="34"/>
      <c r="AG107" s="34"/>
      <c r="AH107" s="34"/>
      <c r="AI107" s="35"/>
      <c r="AJ107" s="35"/>
      <c r="AK107" s="214"/>
      <c r="AL107" s="214"/>
      <c r="AM107" s="200"/>
      <c r="AN107" s="303"/>
      <c r="AO107" s="239" t="s">
        <v>498</v>
      </c>
      <c r="AP107" s="166">
        <v>41</v>
      </c>
      <c r="AQ107" s="167">
        <v>122</v>
      </c>
      <c r="AR107" s="171" t="s">
        <v>144</v>
      </c>
      <c r="AS107" s="172" t="s">
        <v>33</v>
      </c>
      <c r="AT107" s="156">
        <v>7.093</v>
      </c>
      <c r="AU107" s="156">
        <v>7.9</v>
      </c>
      <c r="AV107" s="156">
        <f t="shared" ref="AV107" si="6">AU107-AT107</f>
        <v>0.80700000000000038</v>
      </c>
      <c r="AW107" s="156">
        <v>10</v>
      </c>
      <c r="AX107" s="156">
        <v>10</v>
      </c>
    </row>
    <row r="108" spans="1:50" ht="31.5" x14ac:dyDescent="0.2">
      <c r="A108" s="23" t="s">
        <v>499</v>
      </c>
      <c r="B108" s="24" t="s">
        <v>500</v>
      </c>
      <c r="C108" s="90">
        <f>17.174-1.381</f>
        <v>15.792999999999999</v>
      </c>
      <c r="D108" s="422">
        <f t="shared" si="2"/>
        <v>15.792999999999999</v>
      </c>
      <c r="E108" s="422">
        <f t="shared" si="3"/>
        <v>0</v>
      </c>
      <c r="F108" s="25" t="s">
        <v>68</v>
      </c>
      <c r="G108" s="26" t="s">
        <v>501</v>
      </c>
      <c r="H108" s="188"/>
      <c r="I108" s="326" t="s">
        <v>502</v>
      </c>
      <c r="J108" s="250">
        <v>15.792999999999999</v>
      </c>
      <c r="K108" s="29" t="s">
        <v>503</v>
      </c>
      <c r="L108" s="30"/>
      <c r="M108" s="30"/>
      <c r="N108" s="31"/>
      <c r="O108" s="31"/>
      <c r="P108" s="31"/>
      <c r="Q108" s="31"/>
      <c r="R108" s="30"/>
      <c r="S108" s="30"/>
      <c r="T108" s="208"/>
      <c r="U108" s="208"/>
      <c r="V108" s="193"/>
      <c r="W108" s="199"/>
      <c r="X108" s="193"/>
      <c r="Y108" s="256"/>
      <c r="Z108" s="299"/>
      <c r="AA108" s="32"/>
      <c r="AB108" s="32"/>
      <c r="AC108" s="35"/>
      <c r="AD108" s="32"/>
      <c r="AE108" s="34"/>
      <c r="AF108" s="34"/>
      <c r="AG108" s="34"/>
      <c r="AH108" s="34"/>
      <c r="AI108" s="35"/>
      <c r="AJ108" s="35"/>
      <c r="AK108" s="214"/>
      <c r="AL108" s="214"/>
      <c r="AM108" s="200"/>
      <c r="AN108" s="303"/>
      <c r="AO108" s="239"/>
      <c r="AP108" s="166">
        <v>14</v>
      </c>
      <c r="AQ108" s="167">
        <v>78</v>
      </c>
      <c r="AR108" s="171" t="s">
        <v>1</v>
      </c>
      <c r="AS108" s="172" t="s">
        <v>1</v>
      </c>
    </row>
    <row r="109" spans="1:50" ht="31.5" x14ac:dyDescent="0.2">
      <c r="A109" s="23" t="s">
        <v>504</v>
      </c>
      <c r="B109" s="24" t="s">
        <v>505</v>
      </c>
      <c r="C109" s="90">
        <f>36.975-0.345</f>
        <v>36.630000000000003</v>
      </c>
      <c r="D109" s="422">
        <f t="shared" si="2"/>
        <v>36.630000000000003</v>
      </c>
      <c r="E109" s="422">
        <f t="shared" si="3"/>
        <v>0</v>
      </c>
      <c r="F109" s="25" t="s">
        <v>36</v>
      </c>
      <c r="G109" s="26" t="s">
        <v>506</v>
      </c>
      <c r="H109" s="188"/>
      <c r="I109" s="326"/>
      <c r="J109" s="250">
        <v>36.630000000000003</v>
      </c>
      <c r="K109" s="29" t="s">
        <v>507</v>
      </c>
      <c r="L109" s="30"/>
      <c r="M109" s="30"/>
      <c r="N109" s="31"/>
      <c r="O109" s="31"/>
      <c r="P109" s="31"/>
      <c r="Q109" s="31"/>
      <c r="R109" s="30">
        <v>18</v>
      </c>
      <c r="S109" s="30"/>
      <c r="T109" s="208"/>
      <c r="U109" s="208"/>
      <c r="V109" s="250">
        <v>36.630000000000003</v>
      </c>
      <c r="W109" s="29" t="s">
        <v>507</v>
      </c>
      <c r="X109" s="193"/>
      <c r="Y109" s="256"/>
      <c r="Z109" s="299"/>
      <c r="AA109" s="32"/>
      <c r="AB109" s="32"/>
      <c r="AC109" s="35"/>
      <c r="AD109" s="32"/>
      <c r="AE109" s="34"/>
      <c r="AF109" s="34"/>
      <c r="AG109" s="34"/>
      <c r="AH109" s="34"/>
      <c r="AI109" s="35"/>
      <c r="AJ109" s="35"/>
      <c r="AK109" s="214"/>
      <c r="AL109" s="214"/>
      <c r="AM109" s="200"/>
      <c r="AN109" s="303"/>
      <c r="AO109" s="239"/>
      <c r="AP109" s="166">
        <v>0</v>
      </c>
      <c r="AQ109" s="167">
        <v>210</v>
      </c>
      <c r="AR109" s="171" t="s">
        <v>1</v>
      </c>
      <c r="AS109" s="172" t="s">
        <v>1</v>
      </c>
      <c r="AT109" s="156"/>
    </row>
    <row r="110" spans="1:50" ht="42" x14ac:dyDescent="0.2">
      <c r="A110" s="23" t="s">
        <v>508</v>
      </c>
      <c r="B110" s="24" t="s">
        <v>509</v>
      </c>
      <c r="C110" s="90">
        <f>13.27-1.484</f>
        <v>11.786</v>
      </c>
      <c r="D110" s="422">
        <f t="shared" si="2"/>
        <v>11.786</v>
      </c>
      <c r="E110" s="422">
        <f t="shared" si="3"/>
        <v>0</v>
      </c>
      <c r="F110" s="25" t="s">
        <v>36</v>
      </c>
      <c r="G110" s="26" t="s">
        <v>510</v>
      </c>
      <c r="H110" s="188"/>
      <c r="I110" s="326"/>
      <c r="J110" s="250">
        <v>11.786</v>
      </c>
      <c r="K110" s="29" t="s">
        <v>511</v>
      </c>
      <c r="L110" s="30"/>
      <c r="M110" s="30"/>
      <c r="N110" s="31"/>
      <c r="O110" s="31"/>
      <c r="P110" s="31"/>
      <c r="Q110" s="31"/>
      <c r="R110" s="30">
        <v>6</v>
      </c>
      <c r="S110" s="30"/>
      <c r="T110" s="208"/>
      <c r="U110" s="208"/>
      <c r="V110" s="250">
        <v>11.786</v>
      </c>
      <c r="W110" s="29" t="s">
        <v>511</v>
      </c>
      <c r="X110" s="193"/>
      <c r="Y110" s="256"/>
      <c r="Z110" s="299"/>
      <c r="AA110" s="32"/>
      <c r="AB110" s="32"/>
      <c r="AC110" s="35"/>
      <c r="AD110" s="32"/>
      <c r="AE110" s="34"/>
      <c r="AF110" s="34"/>
      <c r="AG110" s="34"/>
      <c r="AH110" s="34"/>
      <c r="AI110" s="35"/>
      <c r="AJ110" s="35"/>
      <c r="AK110" s="214"/>
      <c r="AL110" s="214"/>
      <c r="AM110" s="200"/>
      <c r="AN110" s="303"/>
      <c r="AO110" s="239"/>
      <c r="AP110" s="166">
        <v>0</v>
      </c>
      <c r="AQ110" s="167">
        <v>73</v>
      </c>
      <c r="AR110" s="171" t="s">
        <v>1</v>
      </c>
      <c r="AS110" s="172" t="s">
        <v>1</v>
      </c>
      <c r="AT110" s="156"/>
    </row>
    <row r="111" spans="1:50" ht="21" x14ac:dyDescent="0.2">
      <c r="A111" s="23" t="s">
        <v>512</v>
      </c>
      <c r="B111" s="24" t="s">
        <v>513</v>
      </c>
      <c r="C111" s="90">
        <f>32.173-14.881</f>
        <v>17.292000000000002</v>
      </c>
      <c r="D111" s="422">
        <f t="shared" si="2"/>
        <v>17.292000000000002</v>
      </c>
      <c r="E111" s="422">
        <f t="shared" si="3"/>
        <v>0</v>
      </c>
      <c r="F111" s="25" t="s">
        <v>68</v>
      </c>
      <c r="G111" s="26" t="s">
        <v>514</v>
      </c>
      <c r="H111" s="188"/>
      <c r="I111" s="326"/>
      <c r="J111" s="250">
        <v>17.292000000000002</v>
      </c>
      <c r="K111" s="29" t="s">
        <v>515</v>
      </c>
      <c r="L111" s="30"/>
      <c r="M111" s="30"/>
      <c r="N111" s="31"/>
      <c r="O111" s="31"/>
      <c r="P111" s="31"/>
      <c r="Q111" s="31"/>
      <c r="R111" s="30"/>
      <c r="S111" s="30"/>
      <c r="T111" s="208"/>
      <c r="U111" s="208"/>
      <c r="V111" s="193"/>
      <c r="W111" s="199"/>
      <c r="X111" s="193"/>
      <c r="Y111" s="256"/>
      <c r="Z111" s="299"/>
      <c r="AA111" s="32"/>
      <c r="AB111" s="32"/>
      <c r="AC111" s="35"/>
      <c r="AD111" s="32"/>
      <c r="AE111" s="34"/>
      <c r="AF111" s="34"/>
      <c r="AG111" s="34"/>
      <c r="AH111" s="34"/>
      <c r="AI111" s="35"/>
      <c r="AJ111" s="35"/>
      <c r="AK111" s="214"/>
      <c r="AL111" s="214"/>
      <c r="AM111" s="200"/>
      <c r="AN111" s="303"/>
      <c r="AO111" s="239"/>
      <c r="AP111" s="166">
        <v>0</v>
      </c>
      <c r="AQ111" s="167">
        <v>90</v>
      </c>
      <c r="AR111" s="171" t="s">
        <v>1</v>
      </c>
      <c r="AS111" s="172" t="s">
        <v>1</v>
      </c>
    </row>
    <row r="112" spans="1:50" ht="42" x14ac:dyDescent="0.2">
      <c r="A112" s="23" t="s">
        <v>516</v>
      </c>
      <c r="B112" s="24" t="s">
        <v>517</v>
      </c>
      <c r="C112" s="90">
        <f>40.115-1.792</f>
        <v>38.323</v>
      </c>
      <c r="D112" s="422">
        <f t="shared" si="2"/>
        <v>38.323</v>
      </c>
      <c r="E112" s="422">
        <f t="shared" si="3"/>
        <v>0</v>
      </c>
      <c r="F112" s="25" t="s">
        <v>36</v>
      </c>
      <c r="G112" s="38" t="s">
        <v>518</v>
      </c>
      <c r="H112" s="188"/>
      <c r="I112" s="328" t="s">
        <v>519</v>
      </c>
      <c r="J112" s="250">
        <v>38.323</v>
      </c>
      <c r="K112" s="29" t="s">
        <v>520</v>
      </c>
      <c r="L112" s="30"/>
      <c r="M112" s="30"/>
      <c r="N112" s="31"/>
      <c r="O112" s="31"/>
      <c r="P112" s="31"/>
      <c r="Q112" s="31"/>
      <c r="R112" s="30">
        <v>19</v>
      </c>
      <c r="S112" s="30"/>
      <c r="T112" s="208"/>
      <c r="U112" s="208"/>
      <c r="V112" s="250">
        <v>38.323</v>
      </c>
      <c r="W112" s="29" t="s">
        <v>520</v>
      </c>
      <c r="X112" s="193"/>
      <c r="Y112" s="256"/>
      <c r="Z112" s="306"/>
      <c r="AA112" s="65"/>
      <c r="AB112" s="65"/>
      <c r="AC112" s="67"/>
      <c r="AD112" s="65"/>
      <c r="AE112" s="66"/>
      <c r="AF112" s="66"/>
      <c r="AG112" s="66"/>
      <c r="AH112" s="66"/>
      <c r="AI112" s="67"/>
      <c r="AJ112" s="67"/>
      <c r="AK112" s="217"/>
      <c r="AL112" s="217"/>
      <c r="AM112" s="200"/>
      <c r="AN112" s="303"/>
      <c r="AO112" s="239"/>
      <c r="AP112" s="166">
        <v>0</v>
      </c>
      <c r="AQ112" s="167">
        <v>193</v>
      </c>
      <c r="AR112" s="171" t="s">
        <v>1</v>
      </c>
      <c r="AS112" s="172" t="s">
        <v>1</v>
      </c>
      <c r="AT112" s="156"/>
    </row>
    <row r="113" spans="1:50" ht="42" x14ac:dyDescent="0.2">
      <c r="A113" s="23" t="s">
        <v>521</v>
      </c>
      <c r="B113" s="24" t="s">
        <v>522</v>
      </c>
      <c r="C113" s="90">
        <f>19.853-0.055</f>
        <v>19.798000000000002</v>
      </c>
      <c r="D113" s="422">
        <f t="shared" si="2"/>
        <v>19.798000000000002</v>
      </c>
      <c r="E113" s="422">
        <f t="shared" si="3"/>
        <v>0</v>
      </c>
      <c r="F113" s="25" t="s">
        <v>36</v>
      </c>
      <c r="G113" s="26" t="s">
        <v>523</v>
      </c>
      <c r="H113" s="188"/>
      <c r="I113" s="326"/>
      <c r="J113" s="250">
        <v>19.798000000000002</v>
      </c>
      <c r="K113" s="29" t="s">
        <v>524</v>
      </c>
      <c r="L113" s="30"/>
      <c r="M113" s="30"/>
      <c r="N113" s="31"/>
      <c r="O113" s="31"/>
      <c r="P113" s="31"/>
      <c r="Q113" s="31"/>
      <c r="R113" s="30">
        <v>10</v>
      </c>
      <c r="S113" s="30"/>
      <c r="T113" s="208"/>
      <c r="U113" s="208"/>
      <c r="V113" s="250">
        <v>19.798000000000002</v>
      </c>
      <c r="W113" s="29" t="s">
        <v>524</v>
      </c>
      <c r="X113" s="193"/>
      <c r="Y113" s="256"/>
      <c r="Z113" s="299"/>
      <c r="AA113" s="32"/>
      <c r="AB113" s="32"/>
      <c r="AC113" s="35"/>
      <c r="AD113" s="32"/>
      <c r="AE113" s="34"/>
      <c r="AF113" s="34"/>
      <c r="AG113" s="34"/>
      <c r="AH113" s="34"/>
      <c r="AI113" s="35"/>
      <c r="AJ113" s="35"/>
      <c r="AK113" s="214"/>
      <c r="AL113" s="214"/>
      <c r="AM113" s="200"/>
      <c r="AN113" s="303"/>
      <c r="AO113" s="239"/>
      <c r="AP113" s="166">
        <v>0</v>
      </c>
      <c r="AQ113" s="167">
        <v>108</v>
      </c>
      <c r="AR113" s="171" t="s">
        <v>1</v>
      </c>
      <c r="AS113" s="172" t="s">
        <v>1</v>
      </c>
      <c r="AT113" s="156"/>
    </row>
    <row r="114" spans="1:50" ht="52.5" x14ac:dyDescent="0.2">
      <c r="A114" s="23" t="s">
        <v>525</v>
      </c>
      <c r="B114" s="24" t="s">
        <v>526</v>
      </c>
      <c r="C114" s="90">
        <f>11.197-1.508</f>
        <v>9.6890000000000001</v>
      </c>
      <c r="D114" s="422">
        <f t="shared" si="2"/>
        <v>9.6890000000000001</v>
      </c>
      <c r="E114" s="422">
        <f t="shared" si="3"/>
        <v>0</v>
      </c>
      <c r="F114" s="25" t="s">
        <v>68</v>
      </c>
      <c r="G114" s="26" t="s">
        <v>527</v>
      </c>
      <c r="H114" s="188"/>
      <c r="I114" s="327" t="s">
        <v>526</v>
      </c>
      <c r="J114" s="250">
        <v>9.6890000000000001</v>
      </c>
      <c r="K114" s="29" t="s">
        <v>528</v>
      </c>
      <c r="L114" s="30">
        <v>4.0999999999999996</v>
      </c>
      <c r="M114" s="30" t="s">
        <v>529</v>
      </c>
      <c r="N114" s="31">
        <v>12</v>
      </c>
      <c r="O114" s="31">
        <v>3</v>
      </c>
      <c r="P114" s="31">
        <v>1</v>
      </c>
      <c r="Q114" s="31">
        <v>0</v>
      </c>
      <c r="R114" s="30"/>
      <c r="S114" s="30"/>
      <c r="T114" s="208"/>
      <c r="U114" s="208"/>
      <c r="V114" s="193"/>
      <c r="W114" s="199"/>
      <c r="X114" s="193"/>
      <c r="Y114" s="256"/>
      <c r="Z114" s="299"/>
      <c r="AA114" s="32"/>
      <c r="AB114" s="32"/>
      <c r="AC114" s="35"/>
      <c r="AD114" s="32"/>
      <c r="AE114" s="34"/>
      <c r="AF114" s="34"/>
      <c r="AG114" s="34"/>
      <c r="AH114" s="34"/>
      <c r="AI114" s="35"/>
      <c r="AJ114" s="35"/>
      <c r="AK114" s="214"/>
      <c r="AL114" s="214"/>
      <c r="AM114" s="200"/>
      <c r="AN114" s="303"/>
      <c r="AO114" s="239"/>
      <c r="AP114" s="166">
        <v>10</v>
      </c>
      <c r="AQ114" s="167">
        <v>40</v>
      </c>
      <c r="AR114" s="171" t="s">
        <v>1</v>
      </c>
      <c r="AS114" s="172" t="s">
        <v>1</v>
      </c>
    </row>
    <row r="115" spans="1:50" ht="31.5" x14ac:dyDescent="0.2">
      <c r="A115" s="23" t="s">
        <v>530</v>
      </c>
      <c r="B115" s="24" t="s">
        <v>531</v>
      </c>
      <c r="C115" s="90">
        <f>4.127-0.404</f>
        <v>3.7229999999999999</v>
      </c>
      <c r="D115" s="422">
        <f t="shared" si="2"/>
        <v>3.7229999999999999</v>
      </c>
      <c r="E115" s="422">
        <f t="shared" si="3"/>
        <v>0</v>
      </c>
      <c r="F115" s="25" t="s">
        <v>68</v>
      </c>
      <c r="G115" s="366" t="s">
        <v>1720</v>
      </c>
      <c r="H115" s="188" t="s">
        <v>532</v>
      </c>
      <c r="I115" s="326"/>
      <c r="J115" s="260"/>
      <c r="K115" s="27"/>
      <c r="L115" s="80"/>
      <c r="M115" s="80"/>
      <c r="N115" s="81"/>
      <c r="O115" s="81"/>
      <c r="P115" s="81"/>
      <c r="Q115" s="81"/>
      <c r="R115" s="80"/>
      <c r="S115" s="80"/>
      <c r="T115" s="211"/>
      <c r="U115" s="211"/>
      <c r="V115" s="193"/>
      <c r="W115" s="199"/>
      <c r="X115" s="193"/>
      <c r="Y115" s="256"/>
      <c r="Z115" s="302">
        <v>3.7229999999999999</v>
      </c>
      <c r="AA115" s="59" t="s">
        <v>533</v>
      </c>
      <c r="AB115" s="247"/>
      <c r="AC115" s="316"/>
      <c r="AD115" s="247"/>
      <c r="AE115" s="316"/>
      <c r="AF115" s="316"/>
      <c r="AG115" s="316"/>
      <c r="AH115" s="316"/>
      <c r="AI115" s="109"/>
      <c r="AJ115" s="316"/>
      <c r="AK115" s="220"/>
      <c r="AL115" s="220"/>
      <c r="AM115" s="200"/>
      <c r="AN115" s="303"/>
      <c r="AO115" s="239"/>
      <c r="AP115" s="166">
        <v>0</v>
      </c>
      <c r="AQ115" s="167">
        <v>5</v>
      </c>
      <c r="AR115" s="171" t="s">
        <v>1</v>
      </c>
      <c r="AS115" s="172" t="s">
        <v>1</v>
      </c>
      <c r="AT115" s="156"/>
    </row>
    <row r="116" spans="1:50" ht="42" x14ac:dyDescent="0.2">
      <c r="A116" s="23" t="s">
        <v>534</v>
      </c>
      <c r="B116" s="24" t="s">
        <v>535</v>
      </c>
      <c r="C116" s="90">
        <f>103.654-3.246</f>
        <v>100.408</v>
      </c>
      <c r="D116" s="422">
        <f t="shared" si="2"/>
        <v>100.408</v>
      </c>
      <c r="E116" s="422">
        <f t="shared" si="3"/>
        <v>0</v>
      </c>
      <c r="F116" s="25" t="s">
        <v>26</v>
      </c>
      <c r="G116" s="38" t="s">
        <v>536</v>
      </c>
      <c r="H116" s="188"/>
      <c r="I116" s="326" t="s">
        <v>537</v>
      </c>
      <c r="J116" s="250">
        <v>100.408</v>
      </c>
      <c r="K116" s="40" t="s">
        <v>538</v>
      </c>
      <c r="L116" s="41">
        <v>13.6</v>
      </c>
      <c r="M116" s="41" t="s">
        <v>539</v>
      </c>
      <c r="N116" s="42">
        <v>27</v>
      </c>
      <c r="O116" s="42">
        <v>13</v>
      </c>
      <c r="P116" s="42">
        <v>17</v>
      </c>
      <c r="Q116" s="42">
        <v>0</v>
      </c>
      <c r="R116" s="41">
        <v>13</v>
      </c>
      <c r="S116" s="41"/>
      <c r="T116" s="41"/>
      <c r="U116" s="483"/>
      <c r="V116" s="28">
        <v>100.408</v>
      </c>
      <c r="W116" s="40" t="s">
        <v>538</v>
      </c>
      <c r="X116" s="149"/>
      <c r="Y116" s="253"/>
      <c r="Z116" s="299"/>
      <c r="AA116" s="32"/>
      <c r="AB116" s="32"/>
      <c r="AC116" s="35"/>
      <c r="AD116" s="32"/>
      <c r="AE116" s="34"/>
      <c r="AF116" s="34"/>
      <c r="AG116" s="34"/>
      <c r="AH116" s="34"/>
      <c r="AI116" s="35"/>
      <c r="AJ116" s="35"/>
      <c r="AK116" s="35"/>
      <c r="AL116" s="35"/>
      <c r="AM116" s="203"/>
      <c r="AN116" s="300"/>
      <c r="AO116" s="239"/>
      <c r="AP116" s="166">
        <v>14</v>
      </c>
      <c r="AQ116" s="167">
        <v>664</v>
      </c>
      <c r="AR116" s="171" t="s">
        <v>1</v>
      </c>
      <c r="AS116" s="172" t="s">
        <v>1</v>
      </c>
    </row>
    <row r="117" spans="1:50" ht="31.5" x14ac:dyDescent="0.2">
      <c r="A117" s="23" t="s">
        <v>540</v>
      </c>
      <c r="B117" s="24" t="s">
        <v>541</v>
      </c>
      <c r="C117" s="90">
        <f>3.859-0.933</f>
        <v>2.9260000000000002</v>
      </c>
      <c r="D117" s="422">
        <f t="shared" si="2"/>
        <v>2.9260000000000002</v>
      </c>
      <c r="E117" s="422">
        <f t="shared" si="3"/>
        <v>0</v>
      </c>
      <c r="F117" s="25" t="s">
        <v>68</v>
      </c>
      <c r="G117" s="26" t="s">
        <v>542</v>
      </c>
      <c r="H117" s="188"/>
      <c r="I117" s="327" t="s">
        <v>541</v>
      </c>
      <c r="J117" s="250">
        <v>2.9260000000000002</v>
      </c>
      <c r="K117" s="29" t="s">
        <v>543</v>
      </c>
      <c r="L117" s="30"/>
      <c r="M117" s="30"/>
      <c r="N117" s="31"/>
      <c r="O117" s="31"/>
      <c r="P117" s="31"/>
      <c r="Q117" s="31"/>
      <c r="R117" s="30"/>
      <c r="S117" s="30"/>
      <c r="T117" s="208"/>
      <c r="U117" s="208"/>
      <c r="V117" s="261"/>
      <c r="W117" s="261"/>
      <c r="X117" s="261"/>
      <c r="Y117" s="262"/>
      <c r="Z117" s="299"/>
      <c r="AA117" s="32"/>
      <c r="AB117" s="32"/>
      <c r="AC117" s="35"/>
      <c r="AD117" s="32"/>
      <c r="AE117" s="34"/>
      <c r="AF117" s="34"/>
      <c r="AG117" s="34"/>
      <c r="AH117" s="34"/>
      <c r="AI117" s="35"/>
      <c r="AJ117" s="35"/>
      <c r="AK117" s="214"/>
      <c r="AL117" s="214"/>
      <c r="AM117" s="311"/>
      <c r="AN117" s="312"/>
      <c r="AO117" s="239"/>
      <c r="AP117" s="166">
        <v>0</v>
      </c>
      <c r="AQ117" s="167">
        <v>27</v>
      </c>
      <c r="AR117" s="171" t="s">
        <v>1</v>
      </c>
      <c r="AS117" s="172" t="s">
        <v>1</v>
      </c>
    </row>
    <row r="118" spans="1:50" ht="42" x14ac:dyDescent="0.2">
      <c r="A118" s="23" t="s">
        <v>544</v>
      </c>
      <c r="B118" s="24" t="s">
        <v>545</v>
      </c>
      <c r="C118" s="90">
        <f>1.964-0.066</f>
        <v>1.8979999999999999</v>
      </c>
      <c r="D118" s="422">
        <f t="shared" si="2"/>
        <v>1.8979999999999999</v>
      </c>
      <c r="E118" s="422">
        <f t="shared" si="3"/>
        <v>0</v>
      </c>
      <c r="F118" s="25" t="s">
        <v>68</v>
      </c>
      <c r="G118" s="26" t="s">
        <v>546</v>
      </c>
      <c r="H118" s="188"/>
      <c r="I118" s="327" t="s">
        <v>545</v>
      </c>
      <c r="J118" s="250">
        <v>1.8979999999999999</v>
      </c>
      <c r="K118" s="29" t="s">
        <v>547</v>
      </c>
      <c r="L118" s="30"/>
      <c r="M118" s="30"/>
      <c r="N118" s="31"/>
      <c r="O118" s="31"/>
      <c r="P118" s="31"/>
      <c r="Q118" s="31"/>
      <c r="R118" s="30"/>
      <c r="S118" s="30"/>
      <c r="T118" s="208"/>
      <c r="U118" s="208"/>
      <c r="V118" s="261"/>
      <c r="W118" s="261"/>
      <c r="X118" s="261"/>
      <c r="Y118" s="262"/>
      <c r="Z118" s="299"/>
      <c r="AA118" s="32"/>
      <c r="AB118" s="32"/>
      <c r="AC118" s="35"/>
      <c r="AD118" s="32"/>
      <c r="AE118" s="34"/>
      <c r="AF118" s="34"/>
      <c r="AG118" s="34"/>
      <c r="AH118" s="34"/>
      <c r="AI118" s="35"/>
      <c r="AJ118" s="35"/>
      <c r="AK118" s="214"/>
      <c r="AL118" s="214"/>
      <c r="AM118" s="311"/>
      <c r="AN118" s="312"/>
      <c r="AO118" s="239"/>
      <c r="AP118" s="173">
        <v>0</v>
      </c>
      <c r="AQ118" s="167">
        <v>7</v>
      </c>
      <c r="AR118" s="171" t="s">
        <v>1</v>
      </c>
      <c r="AS118" s="172" t="s">
        <v>1</v>
      </c>
    </row>
    <row r="119" spans="1:50" s="2" customFormat="1" ht="31.5" x14ac:dyDescent="0.2">
      <c r="A119" s="23" t="s">
        <v>548</v>
      </c>
      <c r="B119" s="24" t="s">
        <v>549</v>
      </c>
      <c r="C119" s="90">
        <f>15.098-0.126</f>
        <v>14.972000000000001</v>
      </c>
      <c r="D119" s="422">
        <f t="shared" si="2"/>
        <v>14.972000000000001</v>
      </c>
      <c r="E119" s="422">
        <f t="shared" si="3"/>
        <v>0</v>
      </c>
      <c r="F119" s="90" t="s">
        <v>68</v>
      </c>
      <c r="G119" s="26" t="s">
        <v>550</v>
      </c>
      <c r="H119" s="188"/>
      <c r="I119" s="328"/>
      <c r="J119" s="250">
        <v>14.972000000000001</v>
      </c>
      <c r="K119" s="28" t="s">
        <v>551</v>
      </c>
      <c r="L119" s="46">
        <v>3.6</v>
      </c>
      <c r="M119" s="46" t="s">
        <v>552</v>
      </c>
      <c r="N119" s="47">
        <v>9</v>
      </c>
      <c r="O119" s="47">
        <v>3</v>
      </c>
      <c r="P119" s="47">
        <v>3</v>
      </c>
      <c r="Q119" s="47">
        <v>0</v>
      </c>
      <c r="R119" s="46"/>
      <c r="S119" s="46"/>
      <c r="T119" s="195"/>
      <c r="U119" s="195"/>
      <c r="V119" s="261"/>
      <c r="W119" s="261"/>
      <c r="X119" s="261"/>
      <c r="Y119" s="262"/>
      <c r="Z119" s="306"/>
      <c r="AA119" s="65"/>
      <c r="AB119" s="65"/>
      <c r="AC119" s="67"/>
      <c r="AD119" s="65"/>
      <c r="AE119" s="66"/>
      <c r="AF119" s="66"/>
      <c r="AG119" s="66"/>
      <c r="AH119" s="66"/>
      <c r="AI119" s="67"/>
      <c r="AJ119" s="67"/>
      <c r="AK119" s="217"/>
      <c r="AL119" s="217"/>
      <c r="AM119" s="311"/>
      <c r="AN119" s="312"/>
      <c r="AO119" s="239"/>
      <c r="AP119" s="166">
        <v>6</v>
      </c>
      <c r="AQ119" s="167">
        <v>111</v>
      </c>
      <c r="AR119" s="171" t="s">
        <v>1</v>
      </c>
      <c r="AS119" s="172" t="s">
        <v>1</v>
      </c>
      <c r="AT119" s="155"/>
      <c r="AU119" s="156"/>
      <c r="AV119" s="156"/>
      <c r="AW119" s="156"/>
      <c r="AX119" s="156"/>
    </row>
    <row r="120" spans="1:50" ht="31.5" x14ac:dyDescent="0.2">
      <c r="A120" s="23" t="s">
        <v>553</v>
      </c>
      <c r="B120" s="24" t="s">
        <v>554</v>
      </c>
      <c r="C120" s="90">
        <f>4.033-0.214</f>
        <v>3.8190000000000004</v>
      </c>
      <c r="D120" s="422">
        <f t="shared" si="2"/>
        <v>3.8190000000000004</v>
      </c>
      <c r="E120" s="422">
        <f t="shared" si="3"/>
        <v>0</v>
      </c>
      <c r="F120" s="25" t="s">
        <v>68</v>
      </c>
      <c r="G120" s="26" t="s">
        <v>555</v>
      </c>
      <c r="H120" s="188"/>
      <c r="I120" s="326"/>
      <c r="J120" s="250">
        <v>3.8190000000000004</v>
      </c>
      <c r="K120" s="29" t="s">
        <v>556</v>
      </c>
      <c r="L120" s="30"/>
      <c r="M120" s="41"/>
      <c r="N120" s="41"/>
      <c r="O120" s="41"/>
      <c r="P120" s="41"/>
      <c r="Q120" s="41"/>
      <c r="R120" s="41"/>
      <c r="S120" s="41"/>
      <c r="T120" s="41"/>
      <c r="U120" s="41"/>
      <c r="V120" s="263"/>
      <c r="W120" s="263"/>
      <c r="X120" s="263"/>
      <c r="Y120" s="264"/>
      <c r="Z120" s="299"/>
      <c r="AA120" s="32"/>
      <c r="AB120" s="32"/>
      <c r="AC120" s="35"/>
      <c r="AD120" s="32"/>
      <c r="AE120" s="34"/>
      <c r="AF120" s="34"/>
      <c r="AG120" s="34"/>
      <c r="AH120" s="34"/>
      <c r="AI120" s="35"/>
      <c r="AJ120" s="35"/>
      <c r="AK120" s="214"/>
      <c r="AL120" s="214"/>
      <c r="AM120" s="311"/>
      <c r="AN120" s="312"/>
      <c r="AO120" s="239"/>
      <c r="AP120" s="166">
        <v>0</v>
      </c>
      <c r="AQ120" s="167">
        <v>23</v>
      </c>
      <c r="AR120" s="171" t="s">
        <v>1</v>
      </c>
      <c r="AS120" s="172" t="s">
        <v>1</v>
      </c>
    </row>
    <row r="121" spans="1:50" s="2" customFormat="1" ht="31.5" x14ac:dyDescent="0.2">
      <c r="A121" s="23" t="s">
        <v>557</v>
      </c>
      <c r="B121" s="24" t="s">
        <v>558</v>
      </c>
      <c r="C121" s="90">
        <f>360.328-338.181</f>
        <v>22.146999999999991</v>
      </c>
      <c r="D121" s="422">
        <f t="shared" si="2"/>
        <v>22.146999999999991</v>
      </c>
      <c r="E121" s="422">
        <f t="shared" si="3"/>
        <v>0</v>
      </c>
      <c r="F121" s="90" t="s">
        <v>68</v>
      </c>
      <c r="G121" s="38" t="s">
        <v>559</v>
      </c>
      <c r="H121" s="188"/>
      <c r="I121" s="327" t="s">
        <v>558</v>
      </c>
      <c r="J121" s="250">
        <v>22.146999999999991</v>
      </c>
      <c r="K121" s="28" t="s">
        <v>560</v>
      </c>
      <c r="L121" s="46">
        <v>22.5</v>
      </c>
      <c r="M121" s="41" t="s">
        <v>561</v>
      </c>
      <c r="N121" s="41">
        <v>59</v>
      </c>
      <c r="O121" s="41">
        <v>2</v>
      </c>
      <c r="P121" s="41">
        <v>9</v>
      </c>
      <c r="Q121" s="41">
        <v>0</v>
      </c>
      <c r="R121" s="41">
        <f>338.3-338.181</f>
        <v>0.11900000000002819</v>
      </c>
      <c r="S121" s="41" t="s">
        <v>562</v>
      </c>
      <c r="T121" s="41"/>
      <c r="U121" s="41"/>
      <c r="V121" s="28">
        <v>22.146999999999991</v>
      </c>
      <c r="W121" s="29" t="s">
        <v>560</v>
      </c>
      <c r="X121" s="149"/>
      <c r="Y121" s="249" t="s">
        <v>560</v>
      </c>
      <c r="Z121" s="306"/>
      <c r="AA121" s="65"/>
      <c r="AB121" s="65"/>
      <c r="AC121" s="67"/>
      <c r="AD121" s="65"/>
      <c r="AE121" s="66"/>
      <c r="AF121" s="66"/>
      <c r="AG121" s="66"/>
      <c r="AH121" s="66"/>
      <c r="AI121" s="67"/>
      <c r="AJ121" s="67"/>
      <c r="AK121" s="67"/>
      <c r="AL121" s="67"/>
      <c r="AM121" s="203"/>
      <c r="AN121" s="300"/>
      <c r="AO121" s="239"/>
      <c r="AP121" s="166">
        <v>0</v>
      </c>
      <c r="AQ121" s="167">
        <v>0</v>
      </c>
      <c r="AR121" s="171" t="s">
        <v>60</v>
      </c>
      <c r="AS121" s="172" t="s">
        <v>1</v>
      </c>
      <c r="AT121" s="155"/>
      <c r="AU121" s="156"/>
      <c r="AV121" s="156"/>
      <c r="AW121" s="156"/>
      <c r="AX121" s="156"/>
    </row>
    <row r="122" spans="1:50" ht="42" x14ac:dyDescent="0.2">
      <c r="A122" s="23" t="s">
        <v>563</v>
      </c>
      <c r="B122" s="24" t="s">
        <v>564</v>
      </c>
      <c r="C122" s="90">
        <f>29.372-0.562</f>
        <v>28.81</v>
      </c>
      <c r="D122" s="422">
        <f t="shared" si="2"/>
        <v>28.81</v>
      </c>
      <c r="E122" s="422">
        <f t="shared" si="3"/>
        <v>0</v>
      </c>
      <c r="F122" s="25" t="s">
        <v>68</v>
      </c>
      <c r="G122" s="38" t="s">
        <v>565</v>
      </c>
      <c r="H122" s="188"/>
      <c r="I122" s="326"/>
      <c r="J122" s="250">
        <v>28.81</v>
      </c>
      <c r="K122" s="29" t="s">
        <v>566</v>
      </c>
      <c r="L122" s="30"/>
      <c r="M122" s="41"/>
      <c r="N122" s="41"/>
      <c r="O122" s="41"/>
      <c r="P122" s="41"/>
      <c r="Q122" s="41"/>
      <c r="R122" s="41"/>
      <c r="S122" s="41"/>
      <c r="T122" s="41"/>
      <c r="U122" s="41"/>
      <c r="V122" s="28">
        <v>28.81</v>
      </c>
      <c r="W122" s="29" t="s">
        <v>566</v>
      </c>
      <c r="X122" s="149"/>
      <c r="Y122" s="249" t="s">
        <v>566</v>
      </c>
      <c r="Z122" s="299"/>
      <c r="AA122" s="32"/>
      <c r="AB122" s="32"/>
      <c r="AC122" s="35"/>
      <c r="AD122" s="32"/>
      <c r="AE122" s="34"/>
      <c r="AF122" s="34"/>
      <c r="AG122" s="34"/>
      <c r="AH122" s="34"/>
      <c r="AI122" s="35"/>
      <c r="AJ122" s="35"/>
      <c r="AK122" s="35"/>
      <c r="AL122" s="35"/>
      <c r="AM122" s="203"/>
      <c r="AN122" s="300"/>
      <c r="AO122" s="239"/>
      <c r="AP122" s="166">
        <v>25</v>
      </c>
      <c r="AQ122" s="167">
        <v>139</v>
      </c>
      <c r="AR122" s="171" t="s">
        <v>1</v>
      </c>
      <c r="AS122" s="172" t="s">
        <v>1</v>
      </c>
      <c r="AT122" s="156"/>
    </row>
    <row r="123" spans="1:50" ht="31.5" x14ac:dyDescent="0.2">
      <c r="A123" s="23" t="s">
        <v>567</v>
      </c>
      <c r="B123" s="24" t="s">
        <v>568</v>
      </c>
      <c r="C123" s="90">
        <f>21.769-0.75</f>
        <v>21.018999999999998</v>
      </c>
      <c r="D123" s="422">
        <f t="shared" si="2"/>
        <v>21.018999999999998</v>
      </c>
      <c r="E123" s="422">
        <f t="shared" si="3"/>
        <v>0</v>
      </c>
      <c r="F123" s="25" t="s">
        <v>36</v>
      </c>
      <c r="G123" s="38" t="s">
        <v>569</v>
      </c>
      <c r="H123" s="188"/>
      <c r="I123" s="326"/>
      <c r="J123" s="250">
        <v>21.018999999999998</v>
      </c>
      <c r="K123" s="29" t="s">
        <v>570</v>
      </c>
      <c r="L123" s="30"/>
      <c r="M123" s="41"/>
      <c r="N123" s="41"/>
      <c r="O123" s="41"/>
      <c r="P123" s="41"/>
      <c r="Q123" s="41"/>
      <c r="R123" s="41">
        <v>11</v>
      </c>
      <c r="S123" s="41"/>
      <c r="T123" s="41"/>
      <c r="U123" s="41"/>
      <c r="V123" s="250">
        <v>21.018999999999998</v>
      </c>
      <c r="W123" s="29" t="s">
        <v>570</v>
      </c>
      <c r="X123" s="191"/>
      <c r="Y123" s="251"/>
      <c r="Z123" s="299"/>
      <c r="AA123" s="32"/>
      <c r="AB123" s="32"/>
      <c r="AC123" s="35"/>
      <c r="AD123" s="32"/>
      <c r="AE123" s="34"/>
      <c r="AF123" s="34"/>
      <c r="AG123" s="34"/>
      <c r="AH123" s="34"/>
      <c r="AI123" s="35"/>
      <c r="AJ123" s="35"/>
      <c r="AK123" s="35"/>
      <c r="AL123" s="35"/>
      <c r="AM123" s="203"/>
      <c r="AN123" s="300"/>
      <c r="AO123" s="239"/>
      <c r="AP123" s="166">
        <v>0</v>
      </c>
      <c r="AQ123" s="167">
        <v>112</v>
      </c>
      <c r="AR123" s="171" t="s">
        <v>1</v>
      </c>
      <c r="AS123" s="172" t="s">
        <v>1</v>
      </c>
      <c r="AT123" s="156"/>
    </row>
    <row r="124" spans="1:50" ht="31.5" x14ac:dyDescent="0.2">
      <c r="A124" s="23" t="s">
        <v>571</v>
      </c>
      <c r="B124" s="24" t="s">
        <v>572</v>
      </c>
      <c r="C124" s="90">
        <f>200.107-160.934</f>
        <v>39.173000000000002</v>
      </c>
      <c r="D124" s="422">
        <f t="shared" si="2"/>
        <v>39.173000000000002</v>
      </c>
      <c r="E124" s="422">
        <f t="shared" si="3"/>
        <v>0</v>
      </c>
      <c r="F124" s="25" t="s">
        <v>36</v>
      </c>
      <c r="G124" s="38" t="s">
        <v>573</v>
      </c>
      <c r="H124" s="188"/>
      <c r="I124" s="326"/>
      <c r="J124" s="250">
        <v>36.316000000000003</v>
      </c>
      <c r="K124" s="40" t="s">
        <v>574</v>
      </c>
      <c r="L124" s="40"/>
      <c r="M124" s="41"/>
      <c r="N124" s="41"/>
      <c r="O124" s="41"/>
      <c r="P124" s="41"/>
      <c r="Q124" s="41"/>
      <c r="R124" s="41">
        <v>37</v>
      </c>
      <c r="S124" s="41"/>
      <c r="T124" s="41"/>
      <c r="U124" s="41"/>
      <c r="V124" s="250">
        <v>36.316000000000003</v>
      </c>
      <c r="W124" s="40" t="s">
        <v>574</v>
      </c>
      <c r="X124" s="191"/>
      <c r="Y124" s="251"/>
      <c r="Z124" s="308">
        <v>2.8570000000000002</v>
      </c>
      <c r="AA124" s="72" t="s">
        <v>575</v>
      </c>
      <c r="AB124" s="72"/>
      <c r="AC124" s="74"/>
      <c r="AD124" s="72"/>
      <c r="AE124" s="73"/>
      <c r="AF124" s="73"/>
      <c r="AG124" s="73"/>
      <c r="AH124" s="73"/>
      <c r="AI124" s="74">
        <v>2.9</v>
      </c>
      <c r="AJ124" s="74"/>
      <c r="AK124" s="74"/>
      <c r="AL124" s="74"/>
      <c r="AM124" s="203"/>
      <c r="AN124" s="300"/>
      <c r="AO124" s="239"/>
      <c r="AP124" s="166">
        <v>52</v>
      </c>
      <c r="AQ124" s="167">
        <v>205</v>
      </c>
      <c r="AR124" s="168" t="s">
        <v>144</v>
      </c>
      <c r="AS124" s="169" t="s">
        <v>33</v>
      </c>
      <c r="AT124" s="156"/>
    </row>
    <row r="125" spans="1:50" ht="42" x14ac:dyDescent="0.2">
      <c r="A125" s="23" t="s">
        <v>576</v>
      </c>
      <c r="B125" s="24" t="s">
        <v>577</v>
      </c>
      <c r="C125" s="90">
        <f>6.365-0.328</f>
        <v>6.0369999999999999</v>
      </c>
      <c r="D125" s="422">
        <f t="shared" si="2"/>
        <v>6.0369999999999999</v>
      </c>
      <c r="E125" s="422">
        <f t="shared" si="3"/>
        <v>0</v>
      </c>
      <c r="F125" s="25" t="s">
        <v>36</v>
      </c>
      <c r="G125" s="26" t="s">
        <v>578</v>
      </c>
      <c r="H125" s="188"/>
      <c r="I125" s="326"/>
      <c r="J125" s="250">
        <v>6.0369999999999999</v>
      </c>
      <c r="K125" s="29" t="s">
        <v>579</v>
      </c>
      <c r="L125" s="30"/>
      <c r="M125" s="41"/>
      <c r="N125" s="41"/>
      <c r="O125" s="41"/>
      <c r="P125" s="41"/>
      <c r="Q125" s="41"/>
      <c r="R125" s="41">
        <v>3</v>
      </c>
      <c r="S125" s="41"/>
      <c r="T125" s="41"/>
      <c r="U125" s="41"/>
      <c r="V125" s="250">
        <v>6.0369999999999999</v>
      </c>
      <c r="W125" s="29" t="s">
        <v>579</v>
      </c>
      <c r="X125" s="191"/>
      <c r="Y125" s="251"/>
      <c r="Z125" s="299"/>
      <c r="AA125" s="32"/>
      <c r="AB125" s="32"/>
      <c r="AC125" s="35"/>
      <c r="AD125" s="32"/>
      <c r="AE125" s="34"/>
      <c r="AF125" s="34"/>
      <c r="AG125" s="34"/>
      <c r="AH125" s="34"/>
      <c r="AI125" s="35"/>
      <c r="AJ125" s="35"/>
      <c r="AK125" s="35"/>
      <c r="AL125" s="35"/>
      <c r="AM125" s="203"/>
      <c r="AN125" s="300"/>
      <c r="AO125" s="239"/>
      <c r="AP125" s="174">
        <v>0</v>
      </c>
      <c r="AQ125" s="167">
        <v>35</v>
      </c>
      <c r="AR125" s="171" t="s">
        <v>1</v>
      </c>
      <c r="AS125" s="172" t="s">
        <v>1</v>
      </c>
      <c r="AT125" s="156"/>
    </row>
    <row r="126" spans="1:50" ht="42" x14ac:dyDescent="0.2">
      <c r="A126" s="23" t="s">
        <v>580</v>
      </c>
      <c r="B126" s="24" t="s">
        <v>581</v>
      </c>
      <c r="C126" s="90">
        <f>23.671-0.586</f>
        <v>23.085000000000001</v>
      </c>
      <c r="D126" s="422">
        <f t="shared" si="2"/>
        <v>23.085000000000001</v>
      </c>
      <c r="E126" s="422">
        <f t="shared" si="3"/>
        <v>0</v>
      </c>
      <c r="F126" s="25" t="s">
        <v>36</v>
      </c>
      <c r="G126" s="26" t="s">
        <v>582</v>
      </c>
      <c r="H126" s="188"/>
      <c r="I126" s="326"/>
      <c r="J126" s="250">
        <v>23.085000000000001</v>
      </c>
      <c r="K126" s="29" t="s">
        <v>583</v>
      </c>
      <c r="L126" s="30"/>
      <c r="M126" s="41"/>
      <c r="N126" s="41"/>
      <c r="O126" s="41"/>
      <c r="P126" s="41"/>
      <c r="Q126" s="41"/>
      <c r="R126" s="41"/>
      <c r="S126" s="41"/>
      <c r="T126" s="41"/>
      <c r="U126" s="41"/>
      <c r="V126" s="250">
        <v>23.085000000000001</v>
      </c>
      <c r="W126" s="29" t="s">
        <v>583</v>
      </c>
      <c r="X126" s="191"/>
      <c r="Y126" s="251"/>
      <c r="Z126" s="299"/>
      <c r="AA126" s="32"/>
      <c r="AB126" s="32"/>
      <c r="AC126" s="35"/>
      <c r="AD126" s="32"/>
      <c r="AE126" s="34"/>
      <c r="AF126" s="34"/>
      <c r="AG126" s="34"/>
      <c r="AH126" s="34"/>
      <c r="AI126" s="35"/>
      <c r="AJ126" s="35"/>
      <c r="AK126" s="35"/>
      <c r="AL126" s="35"/>
      <c r="AM126" s="203"/>
      <c r="AN126" s="300"/>
      <c r="AO126" s="239"/>
      <c r="AP126" s="166">
        <v>0</v>
      </c>
      <c r="AQ126" s="167">
        <v>132</v>
      </c>
      <c r="AR126" s="171" t="s">
        <v>1</v>
      </c>
      <c r="AS126" s="172" t="s">
        <v>1</v>
      </c>
      <c r="AT126" s="156"/>
    </row>
    <row r="127" spans="1:50" s="2" customFormat="1" ht="31.5" x14ac:dyDescent="0.2">
      <c r="A127" s="23" t="s">
        <v>584</v>
      </c>
      <c r="B127" s="24" t="s">
        <v>585</v>
      </c>
      <c r="C127" s="90">
        <f>5.8-0.624</f>
        <v>5.1760000000000002</v>
      </c>
      <c r="D127" s="422">
        <f t="shared" si="2"/>
        <v>5.1760000000000002</v>
      </c>
      <c r="E127" s="422">
        <f t="shared" si="3"/>
        <v>0</v>
      </c>
      <c r="F127" s="90" t="s">
        <v>68</v>
      </c>
      <c r="G127" s="26" t="s">
        <v>586</v>
      </c>
      <c r="H127" s="188"/>
      <c r="I127" s="327" t="s">
        <v>585</v>
      </c>
      <c r="J127" s="265"/>
      <c r="K127" s="266"/>
      <c r="L127" s="266"/>
      <c r="M127" s="266"/>
      <c r="N127" s="267"/>
      <c r="O127" s="267"/>
      <c r="P127" s="267"/>
      <c r="Q127" s="267"/>
      <c r="R127" s="266"/>
      <c r="S127" s="266"/>
      <c r="T127" s="266"/>
      <c r="U127" s="266"/>
      <c r="V127" s="191"/>
      <c r="W127" s="108"/>
      <c r="X127" s="191"/>
      <c r="Y127" s="251"/>
      <c r="Z127" s="302">
        <v>5.1760000000000002</v>
      </c>
      <c r="AA127" s="59" t="s">
        <v>587</v>
      </c>
      <c r="AB127" s="59">
        <v>0</v>
      </c>
      <c r="AC127" s="61">
        <v>3.8</v>
      </c>
      <c r="AD127" s="59" t="s">
        <v>588</v>
      </c>
      <c r="AE127" s="473">
        <v>8</v>
      </c>
      <c r="AF127" s="473">
        <v>0</v>
      </c>
      <c r="AG127" s="473">
        <v>3</v>
      </c>
      <c r="AH127" s="60">
        <v>0</v>
      </c>
      <c r="AI127" s="61">
        <v>0</v>
      </c>
      <c r="AJ127" s="61"/>
      <c r="AK127" s="61"/>
      <c r="AL127" s="61"/>
      <c r="AM127" s="203"/>
      <c r="AN127" s="300"/>
      <c r="AO127" s="239"/>
      <c r="AP127" s="166">
        <v>8</v>
      </c>
      <c r="AQ127" s="167">
        <v>31</v>
      </c>
      <c r="AR127" s="171" t="s">
        <v>1</v>
      </c>
      <c r="AS127" s="172" t="s">
        <v>1</v>
      </c>
      <c r="AT127" s="156"/>
      <c r="AU127" s="156"/>
      <c r="AV127" s="156"/>
      <c r="AW127" s="156"/>
      <c r="AX127" s="156"/>
    </row>
    <row r="128" spans="1:50" ht="42" x14ac:dyDescent="0.2">
      <c r="A128" s="23" t="s">
        <v>589</v>
      </c>
      <c r="B128" s="24" t="s">
        <v>590</v>
      </c>
      <c r="C128" s="90">
        <f>458.961-361.478</f>
        <v>97.483000000000004</v>
      </c>
      <c r="D128" s="422">
        <f t="shared" si="2"/>
        <v>97.483000000000004</v>
      </c>
      <c r="E128" s="422">
        <f t="shared" si="3"/>
        <v>0</v>
      </c>
      <c r="F128" s="25" t="s">
        <v>26</v>
      </c>
      <c r="G128" s="38" t="s">
        <v>591</v>
      </c>
      <c r="H128" s="188"/>
      <c r="I128" s="327" t="s">
        <v>590</v>
      </c>
      <c r="J128" s="250">
        <v>97.483000000000004</v>
      </c>
      <c r="K128" s="40" t="s">
        <v>1715</v>
      </c>
      <c r="L128" s="41" t="s">
        <v>593</v>
      </c>
      <c r="M128" s="41" t="s">
        <v>592</v>
      </c>
      <c r="N128" s="42">
        <v>36</v>
      </c>
      <c r="O128" s="42">
        <v>2</v>
      </c>
      <c r="P128" s="42">
        <v>12</v>
      </c>
      <c r="Q128" s="42">
        <v>0</v>
      </c>
      <c r="R128" s="41"/>
      <c r="S128" s="41"/>
      <c r="T128" s="41"/>
      <c r="U128" s="483"/>
      <c r="V128" s="28">
        <v>97.483000000000004</v>
      </c>
      <c r="W128" s="40" t="s">
        <v>1715</v>
      </c>
      <c r="X128" s="149"/>
      <c r="Y128" s="253"/>
      <c r="Z128" s="299"/>
      <c r="AA128" s="32"/>
      <c r="AB128" s="32"/>
      <c r="AC128" s="35"/>
      <c r="AD128" s="32"/>
      <c r="AE128" s="34"/>
      <c r="AF128" s="34"/>
      <c r="AG128" s="34"/>
      <c r="AH128" s="34"/>
      <c r="AI128" s="35"/>
      <c r="AJ128" s="35"/>
      <c r="AK128" s="35"/>
      <c r="AL128" s="35"/>
      <c r="AM128" s="203"/>
      <c r="AN128" s="300"/>
      <c r="AO128" s="239"/>
      <c r="AP128" s="166">
        <v>32</v>
      </c>
      <c r="AQ128" s="167">
        <v>484</v>
      </c>
      <c r="AR128" s="171" t="s">
        <v>1</v>
      </c>
      <c r="AS128" s="172" t="s">
        <v>1</v>
      </c>
    </row>
    <row r="129" spans="1:50" ht="31.5" x14ac:dyDescent="0.2">
      <c r="A129" s="23" t="s">
        <v>594</v>
      </c>
      <c r="B129" s="24" t="s">
        <v>595</v>
      </c>
      <c r="C129" s="90">
        <f>3.5-0.963</f>
        <v>2.5369999999999999</v>
      </c>
      <c r="D129" s="422">
        <f t="shared" si="2"/>
        <v>0.80300000000000005</v>
      </c>
      <c r="E129" s="497">
        <f t="shared" si="3"/>
        <v>-1.734</v>
      </c>
      <c r="F129" s="25" t="s">
        <v>68</v>
      </c>
      <c r="G129" s="26" t="s">
        <v>596</v>
      </c>
      <c r="H129" s="188"/>
      <c r="I129" s="326"/>
      <c r="J129" s="250">
        <v>0.80300000000000005</v>
      </c>
      <c r="K129" s="29" t="s">
        <v>597</v>
      </c>
      <c r="L129" s="30"/>
      <c r="M129" s="30"/>
      <c r="N129" s="31"/>
      <c r="O129" s="31"/>
      <c r="P129" s="31"/>
      <c r="Q129" s="31"/>
      <c r="R129" s="30"/>
      <c r="S129" s="30"/>
      <c r="T129" s="208"/>
      <c r="U129" s="208"/>
      <c r="V129" s="263"/>
      <c r="W129" s="263"/>
      <c r="X129" s="263"/>
      <c r="Y129" s="264"/>
      <c r="Z129" s="513"/>
      <c r="AA129" s="514"/>
      <c r="AB129" s="514"/>
      <c r="AC129" s="515"/>
      <c r="AD129" s="514"/>
      <c r="AE129" s="516"/>
      <c r="AF129" s="516"/>
      <c r="AG129" s="516"/>
      <c r="AH129" s="516"/>
      <c r="AI129" s="515"/>
      <c r="AJ129" s="515"/>
      <c r="AK129" s="517"/>
      <c r="AL129" s="517"/>
      <c r="AM129" s="261"/>
      <c r="AN129" s="262"/>
      <c r="AO129" s="239"/>
      <c r="AP129" s="166">
        <v>0</v>
      </c>
      <c r="AQ129" s="167">
        <v>5</v>
      </c>
      <c r="AR129" s="171" t="s">
        <v>1</v>
      </c>
      <c r="AS129" s="172" t="s">
        <v>1</v>
      </c>
      <c r="AT129" s="156"/>
    </row>
    <row r="130" spans="1:50" ht="42" x14ac:dyDescent="0.2">
      <c r="A130" s="23" t="s">
        <v>598</v>
      </c>
      <c r="B130" s="498" t="s">
        <v>599</v>
      </c>
      <c r="C130" s="499">
        <f>1.461-0.363</f>
        <v>1.0980000000000001</v>
      </c>
      <c r="D130" s="497">
        <f t="shared" ref="D130:D193" si="7">J130+Z130</f>
        <v>1.0980000000000001</v>
      </c>
      <c r="E130" s="497">
        <f t="shared" si="3"/>
        <v>0</v>
      </c>
      <c r="F130" s="100" t="s">
        <v>36</v>
      </c>
      <c r="G130" s="38" t="s">
        <v>600</v>
      </c>
      <c r="H130" s="188"/>
      <c r="I130" s="326" t="s">
        <v>599</v>
      </c>
      <c r="J130" s="250">
        <v>1.0980000000000001</v>
      </c>
      <c r="K130" s="40" t="s">
        <v>1716</v>
      </c>
      <c r="L130" s="41"/>
      <c r="M130" s="41"/>
      <c r="N130" s="42"/>
      <c r="O130" s="42"/>
      <c r="P130" s="42"/>
      <c r="Q130" s="42"/>
      <c r="R130" s="41"/>
      <c r="S130" s="41"/>
      <c r="T130" s="196"/>
      <c r="U130" s="196"/>
      <c r="V130" s="250">
        <v>1.0980000000000001</v>
      </c>
      <c r="W130" s="40" t="s">
        <v>1716</v>
      </c>
      <c r="X130" s="263"/>
      <c r="Y130" s="264"/>
      <c r="Z130" s="356"/>
      <c r="AA130" s="357"/>
      <c r="AB130" s="357"/>
      <c r="AC130" s="358"/>
      <c r="AD130" s="357"/>
      <c r="AE130" s="359"/>
      <c r="AF130" s="359"/>
      <c r="AG130" s="359"/>
      <c r="AH130" s="359"/>
      <c r="AI130" s="358"/>
      <c r="AJ130" s="358"/>
      <c r="AK130" s="360"/>
      <c r="AL130" s="360"/>
      <c r="AM130" s="311"/>
      <c r="AN130" s="312"/>
      <c r="AO130" s="239"/>
      <c r="AP130" s="166">
        <v>0</v>
      </c>
      <c r="AQ130" s="167">
        <v>7</v>
      </c>
      <c r="AR130" s="171" t="s">
        <v>1</v>
      </c>
      <c r="AS130" s="172" t="s">
        <v>1</v>
      </c>
      <c r="AT130" s="156"/>
    </row>
    <row r="131" spans="1:50" ht="42" x14ac:dyDescent="0.2">
      <c r="A131" s="23">
        <v>1006</v>
      </c>
      <c r="B131" s="498" t="s">
        <v>601</v>
      </c>
      <c r="C131" s="499">
        <v>2.2509999999999999</v>
      </c>
      <c r="D131" s="497">
        <f t="shared" si="7"/>
        <v>0.98099999999999998</v>
      </c>
      <c r="E131" s="497">
        <f t="shared" ref="E131:E194" si="8">D131-C131</f>
        <v>-1.27</v>
      </c>
      <c r="F131" s="100" t="s">
        <v>36</v>
      </c>
      <c r="G131" s="26" t="s">
        <v>602</v>
      </c>
      <c r="H131" s="188"/>
      <c r="I131" s="326"/>
      <c r="J131" s="250">
        <v>0.98099999999999998</v>
      </c>
      <c r="K131" s="29" t="s">
        <v>603</v>
      </c>
      <c r="L131" s="30"/>
      <c r="M131" s="30"/>
      <c r="N131" s="31"/>
      <c r="O131" s="31"/>
      <c r="P131" s="31"/>
      <c r="Q131" s="31"/>
      <c r="R131" s="30"/>
      <c r="S131" s="30"/>
      <c r="T131" s="208"/>
      <c r="U131" s="208"/>
      <c r="V131" s="250">
        <v>0.98099999999999998</v>
      </c>
      <c r="W131" s="29" t="s">
        <v>603</v>
      </c>
      <c r="X131" s="263"/>
      <c r="Y131" s="264"/>
      <c r="Z131" s="306"/>
      <c r="AA131" s="65"/>
      <c r="AB131" s="65"/>
      <c r="AC131" s="67"/>
      <c r="AD131" s="65"/>
      <c r="AE131" s="66"/>
      <c r="AF131" s="66"/>
      <c r="AG131" s="66"/>
      <c r="AH131" s="66"/>
      <c r="AI131" s="67"/>
      <c r="AJ131" s="67"/>
      <c r="AK131" s="217"/>
      <c r="AL131" s="217"/>
      <c r="AM131" s="311"/>
      <c r="AN131" s="312"/>
      <c r="AO131" s="239"/>
      <c r="AP131" s="166">
        <v>0</v>
      </c>
      <c r="AQ131" s="167">
        <v>8</v>
      </c>
      <c r="AR131" s="171" t="s">
        <v>1</v>
      </c>
      <c r="AS131" s="172" t="s">
        <v>1</v>
      </c>
      <c r="AT131" s="156"/>
    </row>
    <row r="132" spans="1:50" ht="21" x14ac:dyDescent="0.2">
      <c r="A132" s="23" t="s">
        <v>604</v>
      </c>
      <c r="B132" s="24" t="s">
        <v>605</v>
      </c>
      <c r="C132" s="90">
        <f>23.926-0.498</f>
        <v>23.427999999999997</v>
      </c>
      <c r="D132" s="422">
        <f t="shared" si="7"/>
        <v>23.428000000000001</v>
      </c>
      <c r="E132" s="422">
        <f t="shared" si="8"/>
        <v>0</v>
      </c>
      <c r="F132" s="25" t="s">
        <v>68</v>
      </c>
      <c r="G132" s="26" t="s">
        <v>606</v>
      </c>
      <c r="H132" s="188"/>
      <c r="I132" s="326"/>
      <c r="J132" s="260"/>
      <c r="K132" s="27"/>
      <c r="L132" s="27"/>
      <c r="M132" s="27"/>
      <c r="N132" s="37"/>
      <c r="O132" s="37"/>
      <c r="P132" s="37"/>
      <c r="Q132" s="37"/>
      <c r="R132" s="27"/>
      <c r="S132" s="27"/>
      <c r="T132" s="211"/>
      <c r="U132" s="211"/>
      <c r="V132" s="263"/>
      <c r="W132" s="263"/>
      <c r="X132" s="263"/>
      <c r="Y132" s="264"/>
      <c r="Z132" s="302">
        <v>23.428000000000001</v>
      </c>
      <c r="AA132" s="59" t="s">
        <v>607</v>
      </c>
      <c r="AB132" s="59"/>
      <c r="AC132" s="61">
        <v>0</v>
      </c>
      <c r="AD132" s="59"/>
      <c r="AE132" s="60">
        <v>0</v>
      </c>
      <c r="AF132" s="60">
        <v>0</v>
      </c>
      <c r="AG132" s="60">
        <v>0</v>
      </c>
      <c r="AH132" s="60"/>
      <c r="AI132" s="61">
        <v>23.428000000000001</v>
      </c>
      <c r="AJ132" s="59" t="s">
        <v>607</v>
      </c>
      <c r="AK132" s="220"/>
      <c r="AL132" s="220"/>
      <c r="AM132" s="311"/>
      <c r="AN132" s="312"/>
      <c r="AO132" s="239"/>
      <c r="AP132" s="166">
        <v>0</v>
      </c>
      <c r="AQ132" s="167">
        <v>140</v>
      </c>
      <c r="AR132" s="171" t="s">
        <v>1</v>
      </c>
      <c r="AS132" s="172" t="s">
        <v>1</v>
      </c>
    </row>
    <row r="133" spans="1:50" ht="21" x14ac:dyDescent="0.2">
      <c r="A133" s="23" t="s">
        <v>608</v>
      </c>
      <c r="B133" s="24" t="s">
        <v>609</v>
      </c>
      <c r="C133" s="90">
        <f>10.741-0.193</f>
        <v>10.548</v>
      </c>
      <c r="D133" s="422">
        <f t="shared" si="7"/>
        <v>10.548</v>
      </c>
      <c r="E133" s="422">
        <f t="shared" si="8"/>
        <v>0</v>
      </c>
      <c r="F133" s="25" t="s">
        <v>68</v>
      </c>
      <c r="G133" s="26" t="s">
        <v>610</v>
      </c>
      <c r="H133" s="188"/>
      <c r="I133" s="326"/>
      <c r="J133" s="250">
        <v>10.548</v>
      </c>
      <c r="K133" s="29" t="s">
        <v>611</v>
      </c>
      <c r="L133" s="30"/>
      <c r="M133" s="30"/>
      <c r="N133" s="31"/>
      <c r="O133" s="31"/>
      <c r="P133" s="31"/>
      <c r="Q133" s="31"/>
      <c r="R133" s="30"/>
      <c r="S133" s="30"/>
      <c r="T133" s="208"/>
      <c r="U133" s="208"/>
      <c r="V133" s="263"/>
      <c r="W133" s="263"/>
      <c r="X133" s="263"/>
      <c r="Y133" s="264"/>
      <c r="Z133" s="299"/>
      <c r="AA133" s="32"/>
      <c r="AB133" s="32"/>
      <c r="AC133" s="35"/>
      <c r="AD133" s="32"/>
      <c r="AE133" s="34"/>
      <c r="AF133" s="34"/>
      <c r="AG133" s="34"/>
      <c r="AH133" s="34"/>
      <c r="AI133" s="35"/>
      <c r="AJ133" s="35"/>
      <c r="AK133" s="214"/>
      <c r="AL133" s="214"/>
      <c r="AM133" s="311"/>
      <c r="AN133" s="312"/>
      <c r="AO133" s="239"/>
      <c r="AP133" s="166">
        <v>0</v>
      </c>
      <c r="AQ133" s="167">
        <v>74</v>
      </c>
      <c r="AR133" s="171" t="s">
        <v>1</v>
      </c>
      <c r="AS133" s="172" t="s">
        <v>1</v>
      </c>
    </row>
    <row r="134" spans="1:50" ht="31.5" x14ac:dyDescent="0.2">
      <c r="A134" s="23" t="s">
        <v>612</v>
      </c>
      <c r="B134" s="24" t="s">
        <v>613</v>
      </c>
      <c r="C134" s="90">
        <f>14.623-0.227</f>
        <v>14.395999999999999</v>
      </c>
      <c r="D134" s="422">
        <f t="shared" si="7"/>
        <v>14.395999999999999</v>
      </c>
      <c r="E134" s="422">
        <f t="shared" si="8"/>
        <v>0</v>
      </c>
      <c r="F134" s="25" t="s">
        <v>68</v>
      </c>
      <c r="G134" s="26" t="s">
        <v>614</v>
      </c>
      <c r="H134" s="188"/>
      <c r="I134" s="326"/>
      <c r="J134" s="250">
        <v>14.395999999999999</v>
      </c>
      <c r="K134" s="29" t="s">
        <v>615</v>
      </c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263"/>
      <c r="W134" s="263"/>
      <c r="X134" s="263"/>
      <c r="Y134" s="264"/>
      <c r="Z134" s="299"/>
      <c r="AA134" s="32"/>
      <c r="AB134" s="32"/>
      <c r="AC134" s="35"/>
      <c r="AD134" s="32"/>
      <c r="AE134" s="34"/>
      <c r="AF134" s="34"/>
      <c r="AG134" s="34"/>
      <c r="AH134" s="34"/>
      <c r="AI134" s="35"/>
      <c r="AJ134" s="35"/>
      <c r="AK134" s="214"/>
      <c r="AL134" s="214"/>
      <c r="AM134" s="311"/>
      <c r="AN134" s="312"/>
      <c r="AO134" s="239"/>
      <c r="AP134" s="166">
        <v>8</v>
      </c>
      <c r="AQ134" s="167">
        <v>80</v>
      </c>
      <c r="AR134" s="171" t="s">
        <v>1</v>
      </c>
      <c r="AS134" s="172" t="s">
        <v>1</v>
      </c>
    </row>
    <row r="135" spans="1:50" ht="31.5" x14ac:dyDescent="0.2">
      <c r="A135" s="23" t="s">
        <v>616</v>
      </c>
      <c r="B135" s="498" t="s">
        <v>617</v>
      </c>
      <c r="C135" s="499">
        <f>160.972-85.549</f>
        <v>75.423000000000002</v>
      </c>
      <c r="D135" s="497">
        <f t="shared" si="7"/>
        <v>75.423000000000002</v>
      </c>
      <c r="E135" s="497">
        <f t="shared" si="8"/>
        <v>0</v>
      </c>
      <c r="F135" s="100" t="s">
        <v>36</v>
      </c>
      <c r="G135" s="38" t="s">
        <v>618</v>
      </c>
      <c r="H135" s="188"/>
      <c r="I135" s="326"/>
      <c r="J135" s="250">
        <v>47.162999999999997</v>
      </c>
      <c r="K135" s="40" t="s">
        <v>619</v>
      </c>
      <c r="L135" s="30">
        <v>28.6</v>
      </c>
      <c r="M135" s="30" t="s">
        <v>620</v>
      </c>
      <c r="N135" s="30">
        <v>53</v>
      </c>
      <c r="O135" s="30">
        <v>0</v>
      </c>
      <c r="P135" s="30">
        <v>20</v>
      </c>
      <c r="Q135" s="30">
        <v>0</v>
      </c>
      <c r="R135" s="30">
        <f>86.7-85.549+160.972-158.7</f>
        <v>3.4230000000000018</v>
      </c>
      <c r="S135" s="30" t="s">
        <v>621</v>
      </c>
      <c r="T135" s="30"/>
      <c r="U135" s="30"/>
      <c r="V135" s="250">
        <v>47.162999999999997</v>
      </c>
      <c r="W135" s="40" t="s">
        <v>619</v>
      </c>
      <c r="X135" s="263"/>
      <c r="Y135" s="264"/>
      <c r="Z135" s="377">
        <v>28.26</v>
      </c>
      <c r="AA135" s="395" t="s">
        <v>622</v>
      </c>
      <c r="AB135" s="395"/>
      <c r="AC135" s="344">
        <v>15.2</v>
      </c>
      <c r="AD135" s="396" t="s">
        <v>623</v>
      </c>
      <c r="AE135" s="396">
        <v>29</v>
      </c>
      <c r="AF135" s="396">
        <v>0</v>
      </c>
      <c r="AG135" s="396">
        <v>2</v>
      </c>
      <c r="AH135" s="396">
        <v>8</v>
      </c>
      <c r="AI135" s="396">
        <v>29</v>
      </c>
      <c r="AJ135" s="396" t="s">
        <v>622</v>
      </c>
      <c r="AK135" s="218"/>
      <c r="AL135" s="218"/>
      <c r="AM135" s="311"/>
      <c r="AN135" s="312"/>
      <c r="AO135" s="239" t="s">
        <v>624</v>
      </c>
      <c r="AP135" s="166">
        <v>0</v>
      </c>
      <c r="AQ135" s="167">
        <v>0</v>
      </c>
      <c r="AR135" s="168" t="s">
        <v>60</v>
      </c>
      <c r="AS135" s="169" t="s">
        <v>33</v>
      </c>
      <c r="AT135" s="156">
        <v>159.16999999999999</v>
      </c>
      <c r="AU135" s="156">
        <v>160.97200000000001</v>
      </c>
      <c r="AV135" s="156">
        <f t="shared" ref="AV135" si="9">AU135-AT135</f>
        <v>1.8020000000000209</v>
      </c>
      <c r="AW135" s="156">
        <v>15</v>
      </c>
      <c r="AX135" s="156">
        <v>15</v>
      </c>
    </row>
    <row r="136" spans="1:50" ht="21" x14ac:dyDescent="0.2">
      <c r="A136" s="23" t="s">
        <v>625</v>
      </c>
      <c r="B136" s="24" t="s">
        <v>626</v>
      </c>
      <c r="C136" s="90">
        <f>17.793-0.48</f>
        <v>17.312999999999999</v>
      </c>
      <c r="D136" s="422">
        <f t="shared" si="7"/>
        <v>17.390999999999998</v>
      </c>
      <c r="E136" s="422">
        <f t="shared" si="8"/>
        <v>7.7999999999999403E-2</v>
      </c>
      <c r="F136" s="25" t="s">
        <v>627</v>
      </c>
      <c r="G136" s="26" t="s">
        <v>628</v>
      </c>
      <c r="H136" s="188"/>
      <c r="I136" s="326"/>
      <c r="J136" s="252">
        <v>17.390999999999998</v>
      </c>
      <c r="K136" s="29" t="s">
        <v>629</v>
      </c>
      <c r="L136" s="94">
        <v>14</v>
      </c>
      <c r="M136" s="30" t="s">
        <v>1758</v>
      </c>
      <c r="N136" s="31">
        <v>7</v>
      </c>
      <c r="O136" s="31"/>
      <c r="P136" s="31">
        <v>4</v>
      </c>
      <c r="Q136" s="31">
        <v>21</v>
      </c>
      <c r="R136" s="94">
        <v>3.4</v>
      </c>
      <c r="S136" s="30" t="s">
        <v>630</v>
      </c>
      <c r="T136" s="93"/>
      <c r="U136" s="93"/>
      <c r="V136" s="263"/>
      <c r="W136" s="263"/>
      <c r="X136" s="263"/>
      <c r="Y136" s="263"/>
      <c r="Z136" s="27"/>
      <c r="AA136" s="33"/>
      <c r="AB136" s="69"/>
      <c r="AC136" s="69"/>
      <c r="AD136" s="33"/>
      <c r="AE136" s="37"/>
      <c r="AF136" s="37"/>
      <c r="AG136" s="37"/>
      <c r="AH136" s="37"/>
      <c r="AI136" s="69"/>
      <c r="AJ136" s="69"/>
      <c r="AK136" s="69"/>
      <c r="AL136" s="69"/>
      <c r="AM136" s="311"/>
      <c r="AN136" s="312"/>
      <c r="AO136" s="239"/>
      <c r="AP136" s="166">
        <v>0</v>
      </c>
      <c r="AQ136" s="167">
        <v>0</v>
      </c>
      <c r="AR136" s="168" t="s">
        <v>60</v>
      </c>
      <c r="AS136" s="169" t="s">
        <v>51</v>
      </c>
      <c r="AT136" s="156"/>
    </row>
    <row r="137" spans="1:50" ht="21" x14ac:dyDescent="0.2">
      <c r="A137" s="23" t="s">
        <v>631</v>
      </c>
      <c r="B137" s="24" t="s">
        <v>632</v>
      </c>
      <c r="C137" s="90">
        <f>10.768-0.293</f>
        <v>10.475000000000001</v>
      </c>
      <c r="D137" s="422">
        <f t="shared" si="7"/>
        <v>10.475</v>
      </c>
      <c r="E137" s="422">
        <f t="shared" si="8"/>
        <v>0</v>
      </c>
      <c r="F137" s="25" t="s">
        <v>633</v>
      </c>
      <c r="G137" s="26" t="s">
        <v>634</v>
      </c>
      <c r="H137" s="188"/>
      <c r="I137" s="326"/>
      <c r="J137" s="250">
        <v>10.475</v>
      </c>
      <c r="K137" s="29" t="s">
        <v>1813</v>
      </c>
      <c r="L137" s="94"/>
      <c r="M137" s="30"/>
      <c r="N137" s="31"/>
      <c r="O137" s="31"/>
      <c r="P137" s="31"/>
      <c r="Q137" s="31"/>
      <c r="R137" s="94"/>
      <c r="S137" s="30"/>
      <c r="T137" s="212"/>
      <c r="U137" s="212"/>
      <c r="V137" s="250">
        <v>10.475</v>
      </c>
      <c r="W137" s="29" t="s">
        <v>1813</v>
      </c>
      <c r="X137" s="263"/>
      <c r="Y137" s="263"/>
      <c r="Z137" s="69"/>
      <c r="AA137" s="33"/>
      <c r="AB137" s="69"/>
      <c r="AC137" s="69"/>
      <c r="AD137" s="33"/>
      <c r="AE137" s="37"/>
      <c r="AF137" s="37"/>
      <c r="AG137" s="37"/>
      <c r="AH137" s="37"/>
      <c r="AI137" s="69"/>
      <c r="AJ137" s="69"/>
      <c r="AK137" s="69"/>
      <c r="AL137" s="69"/>
      <c r="AM137" s="311"/>
      <c r="AN137" s="312"/>
      <c r="AO137" s="239"/>
      <c r="AP137" s="166"/>
      <c r="AQ137" s="167">
        <v>128</v>
      </c>
      <c r="AR137" s="171" t="s">
        <v>1</v>
      </c>
      <c r="AS137" s="172" t="s">
        <v>1</v>
      </c>
      <c r="AT137" s="156"/>
    </row>
    <row r="138" spans="1:50" ht="21" x14ac:dyDescent="0.2">
      <c r="A138" s="23" t="s">
        <v>635</v>
      </c>
      <c r="B138" s="498" t="s">
        <v>636</v>
      </c>
      <c r="C138" s="499">
        <f>29.014-10.768</f>
        <v>18.245999999999999</v>
      </c>
      <c r="D138" s="497">
        <f t="shared" si="7"/>
        <v>18.246000000000002</v>
      </c>
      <c r="E138" s="497">
        <f t="shared" si="8"/>
        <v>0</v>
      </c>
      <c r="F138" s="100" t="s">
        <v>36</v>
      </c>
      <c r="G138" s="26" t="s">
        <v>637</v>
      </c>
      <c r="H138" s="188"/>
      <c r="I138" s="326"/>
      <c r="J138" s="250">
        <v>7.2370000000000001</v>
      </c>
      <c r="K138" s="29" t="s">
        <v>1808</v>
      </c>
      <c r="L138" s="29"/>
      <c r="M138" s="29"/>
      <c r="N138" s="68"/>
      <c r="O138" s="68"/>
      <c r="P138" s="68"/>
      <c r="Q138" s="68"/>
      <c r="R138" s="29">
        <v>7</v>
      </c>
      <c r="S138" s="29"/>
      <c r="T138" s="521"/>
      <c r="U138" s="521"/>
      <c r="V138" s="250">
        <v>7.2370000000000001</v>
      </c>
      <c r="W138" s="29" t="s">
        <v>1808</v>
      </c>
      <c r="X138" s="263"/>
      <c r="Y138" s="264"/>
      <c r="Z138" s="401">
        <v>11.009</v>
      </c>
      <c r="AA138" s="402" t="s">
        <v>1809</v>
      </c>
      <c r="AB138" s="402"/>
      <c r="AC138" s="403"/>
      <c r="AD138" s="402"/>
      <c r="AE138" s="404"/>
      <c r="AF138" s="404"/>
      <c r="AG138" s="404"/>
      <c r="AH138" s="404"/>
      <c r="AI138" s="403">
        <v>12</v>
      </c>
      <c r="AJ138" s="403"/>
      <c r="AK138" s="219"/>
      <c r="AL138" s="219"/>
      <c r="AM138" s="311"/>
      <c r="AN138" s="312"/>
      <c r="AO138" s="239"/>
      <c r="AP138" s="166">
        <v>34</v>
      </c>
      <c r="AQ138" s="167">
        <v>103</v>
      </c>
      <c r="AR138" s="168" t="s">
        <v>144</v>
      </c>
      <c r="AS138" s="169" t="s">
        <v>33</v>
      </c>
      <c r="AT138" s="156"/>
    </row>
    <row r="139" spans="1:50" ht="31.5" x14ac:dyDescent="0.2">
      <c r="A139" s="23" t="s">
        <v>638</v>
      </c>
      <c r="B139" s="24" t="s">
        <v>639</v>
      </c>
      <c r="C139" s="90">
        <f>37.38-22.836</f>
        <v>14.544000000000004</v>
      </c>
      <c r="D139" s="422">
        <f t="shared" si="7"/>
        <v>14.544</v>
      </c>
      <c r="E139" s="422">
        <f t="shared" si="8"/>
        <v>0</v>
      </c>
      <c r="F139" s="25" t="s">
        <v>36</v>
      </c>
      <c r="G139" s="26" t="s">
        <v>640</v>
      </c>
      <c r="H139" s="188"/>
      <c r="I139" s="326"/>
      <c r="J139" s="250">
        <v>1.1799999999999997</v>
      </c>
      <c r="K139" s="29" t="s">
        <v>641</v>
      </c>
      <c r="L139" s="29"/>
      <c r="M139" s="29"/>
      <c r="N139" s="68"/>
      <c r="O139" s="68"/>
      <c r="P139" s="68"/>
      <c r="Q139" s="68"/>
      <c r="R139" s="29">
        <v>1</v>
      </c>
      <c r="S139" s="29"/>
      <c r="T139" s="208"/>
      <c r="U139" s="208"/>
      <c r="V139" s="250">
        <v>1.1799999999999997</v>
      </c>
      <c r="W139" s="29" t="s">
        <v>641</v>
      </c>
      <c r="X139" s="263"/>
      <c r="Y139" s="264"/>
      <c r="Z139" s="308">
        <v>13.364000000000001</v>
      </c>
      <c r="AA139" s="71" t="s">
        <v>642</v>
      </c>
      <c r="AB139" s="71"/>
      <c r="AC139" s="79"/>
      <c r="AD139" s="71"/>
      <c r="AE139" s="78"/>
      <c r="AF139" s="78"/>
      <c r="AG139" s="78"/>
      <c r="AH139" s="78"/>
      <c r="AI139" s="79">
        <v>14</v>
      </c>
      <c r="AJ139" s="79"/>
      <c r="AK139" s="219"/>
      <c r="AL139" s="219"/>
      <c r="AM139" s="311"/>
      <c r="AN139" s="312"/>
      <c r="AO139" s="239"/>
      <c r="AP139" s="166">
        <v>12</v>
      </c>
      <c r="AQ139" s="167">
        <v>83</v>
      </c>
      <c r="AR139" s="168" t="s">
        <v>144</v>
      </c>
      <c r="AS139" s="169" t="s">
        <v>33</v>
      </c>
      <c r="AT139" s="156"/>
    </row>
    <row r="140" spans="1:50" ht="31.5" x14ac:dyDescent="0.2">
      <c r="A140" s="23" t="s">
        <v>643</v>
      </c>
      <c r="B140" s="24" t="s">
        <v>644</v>
      </c>
      <c r="C140" s="90">
        <f>97.521-0.625</f>
        <v>96.896000000000001</v>
      </c>
      <c r="D140" s="422">
        <f t="shared" si="7"/>
        <v>96.896000000000001</v>
      </c>
      <c r="E140" s="422">
        <f t="shared" si="8"/>
        <v>0</v>
      </c>
      <c r="F140" s="25" t="s">
        <v>36</v>
      </c>
      <c r="G140" s="38" t="s">
        <v>645</v>
      </c>
      <c r="H140" s="188"/>
      <c r="I140" s="326"/>
      <c r="J140" s="250">
        <v>96.896000000000001</v>
      </c>
      <c r="K140" s="29" t="s">
        <v>646</v>
      </c>
      <c r="L140" s="30">
        <v>22</v>
      </c>
      <c r="M140" s="30" t="s">
        <v>1718</v>
      </c>
      <c r="N140" s="31">
        <v>47</v>
      </c>
      <c r="O140" s="31">
        <v>0</v>
      </c>
      <c r="P140" s="31">
        <v>24</v>
      </c>
      <c r="Q140" s="31">
        <v>1</v>
      </c>
      <c r="R140" s="30">
        <v>24</v>
      </c>
      <c r="S140" s="30"/>
      <c r="T140" s="208"/>
      <c r="U140" s="208"/>
      <c r="V140" s="250">
        <v>96.896000000000001</v>
      </c>
      <c r="W140" s="29" t="s">
        <v>646</v>
      </c>
      <c r="X140" s="263"/>
      <c r="Y140" s="264"/>
      <c r="Z140" s="299"/>
      <c r="AA140" s="32"/>
      <c r="AB140" s="32"/>
      <c r="AC140" s="35"/>
      <c r="AD140" s="32"/>
      <c r="AE140" s="34"/>
      <c r="AF140" s="34"/>
      <c r="AG140" s="34"/>
      <c r="AH140" s="34"/>
      <c r="AI140" s="35"/>
      <c r="AJ140" s="35"/>
      <c r="AK140" s="214"/>
      <c r="AL140" s="214"/>
      <c r="AM140" s="311"/>
      <c r="AN140" s="312"/>
      <c r="AO140" s="239"/>
      <c r="AP140" s="166">
        <v>48</v>
      </c>
      <c r="AQ140" s="167">
        <v>541</v>
      </c>
      <c r="AR140" s="171" t="s">
        <v>1</v>
      </c>
      <c r="AS140" s="172" t="s">
        <v>1</v>
      </c>
      <c r="AT140" s="156"/>
    </row>
    <row r="141" spans="1:50" ht="31.5" x14ac:dyDescent="0.2">
      <c r="A141" s="23" t="s">
        <v>647</v>
      </c>
      <c r="B141" s="24" t="s">
        <v>648</v>
      </c>
      <c r="C141" s="90">
        <f>98.04-97.521</f>
        <v>0.51900000000000546</v>
      </c>
      <c r="D141" s="422">
        <f t="shared" si="7"/>
        <v>0.51900000000000546</v>
      </c>
      <c r="E141" s="422">
        <f t="shared" si="8"/>
        <v>0</v>
      </c>
      <c r="F141" s="25" t="s">
        <v>36</v>
      </c>
      <c r="G141" s="26" t="s">
        <v>649</v>
      </c>
      <c r="H141" s="188"/>
      <c r="I141" s="326"/>
      <c r="J141" s="250">
        <v>0.51900000000000546</v>
      </c>
      <c r="K141" s="29" t="s">
        <v>650</v>
      </c>
      <c r="L141" s="30"/>
      <c r="M141" s="30"/>
      <c r="N141" s="31"/>
      <c r="O141" s="31"/>
      <c r="P141" s="31"/>
      <c r="Q141" s="31"/>
      <c r="R141" s="30"/>
      <c r="S141" s="30"/>
      <c r="T141" s="208"/>
      <c r="U141" s="208"/>
      <c r="V141" s="250">
        <v>0.51900000000000546</v>
      </c>
      <c r="W141" s="29" t="s">
        <v>650</v>
      </c>
      <c r="X141" s="263"/>
      <c r="Y141" s="264"/>
      <c r="Z141" s="299"/>
      <c r="AA141" s="32"/>
      <c r="AB141" s="32"/>
      <c r="AC141" s="35"/>
      <c r="AD141" s="32"/>
      <c r="AE141" s="34"/>
      <c r="AF141" s="34"/>
      <c r="AG141" s="34"/>
      <c r="AH141" s="34"/>
      <c r="AI141" s="35"/>
      <c r="AJ141" s="35"/>
      <c r="AK141" s="214"/>
      <c r="AL141" s="214"/>
      <c r="AM141" s="311"/>
      <c r="AN141" s="312"/>
      <c r="AO141" s="239"/>
      <c r="AP141" s="166">
        <v>0</v>
      </c>
      <c r="AQ141" s="167"/>
      <c r="AR141" s="171" t="s">
        <v>1</v>
      </c>
      <c r="AS141" s="172" t="s">
        <v>1</v>
      </c>
      <c r="AT141" s="156"/>
    </row>
    <row r="142" spans="1:50" ht="31.5" x14ac:dyDescent="0.2">
      <c r="A142" s="23" t="s">
        <v>651</v>
      </c>
      <c r="B142" s="24" t="s">
        <v>652</v>
      </c>
      <c r="C142" s="90">
        <f>3.474-0.52</f>
        <v>2.9540000000000002</v>
      </c>
      <c r="D142" s="422">
        <f t="shared" si="7"/>
        <v>2.9540000000000002</v>
      </c>
      <c r="E142" s="422">
        <f t="shared" si="8"/>
        <v>0</v>
      </c>
      <c r="F142" s="25" t="s">
        <v>36</v>
      </c>
      <c r="G142" s="26" t="s">
        <v>653</v>
      </c>
      <c r="H142" s="188"/>
      <c r="I142" s="326"/>
      <c r="J142" s="250">
        <v>2.9540000000000002</v>
      </c>
      <c r="K142" s="29" t="s">
        <v>654</v>
      </c>
      <c r="L142" s="30"/>
      <c r="M142" s="30"/>
      <c r="N142" s="31"/>
      <c r="O142" s="31"/>
      <c r="P142" s="31"/>
      <c r="Q142" s="31"/>
      <c r="R142" s="30"/>
      <c r="S142" s="30"/>
      <c r="T142" s="208"/>
      <c r="U142" s="208"/>
      <c r="V142" s="250">
        <v>2.9540000000000002</v>
      </c>
      <c r="W142" s="29" t="s">
        <v>654</v>
      </c>
      <c r="X142" s="263"/>
      <c r="Y142" s="264"/>
      <c r="Z142" s="299"/>
      <c r="AA142" s="32"/>
      <c r="AB142" s="32"/>
      <c r="AC142" s="35"/>
      <c r="AD142" s="32"/>
      <c r="AE142" s="34"/>
      <c r="AF142" s="34"/>
      <c r="AG142" s="34"/>
      <c r="AH142" s="34"/>
      <c r="AI142" s="35"/>
      <c r="AJ142" s="35"/>
      <c r="AK142" s="214"/>
      <c r="AL142" s="214"/>
      <c r="AM142" s="311"/>
      <c r="AN142" s="312"/>
      <c r="AO142" s="239"/>
      <c r="AP142" s="166">
        <v>0</v>
      </c>
      <c r="AQ142" s="167">
        <v>4</v>
      </c>
      <c r="AR142" s="171" t="s">
        <v>1</v>
      </c>
      <c r="AS142" s="172" t="s">
        <v>1</v>
      </c>
      <c r="AT142" s="156"/>
    </row>
    <row r="143" spans="1:50" ht="42" x14ac:dyDescent="0.2">
      <c r="A143" s="23" t="s">
        <v>655</v>
      </c>
      <c r="B143" s="24" t="s">
        <v>656</v>
      </c>
      <c r="C143" s="90">
        <f>84.564-36.931</f>
        <v>47.632999999999996</v>
      </c>
      <c r="D143" s="422">
        <f t="shared" si="7"/>
        <v>47.632999999999996</v>
      </c>
      <c r="E143" s="422">
        <f t="shared" si="8"/>
        <v>0</v>
      </c>
      <c r="F143" s="25" t="s">
        <v>36</v>
      </c>
      <c r="G143" s="26" t="s">
        <v>657</v>
      </c>
      <c r="H143" s="188"/>
      <c r="I143" s="326"/>
      <c r="J143" s="250">
        <v>47.632999999999996</v>
      </c>
      <c r="K143" s="29" t="s">
        <v>658</v>
      </c>
      <c r="L143" s="30"/>
      <c r="M143" s="30"/>
      <c r="N143" s="31"/>
      <c r="O143" s="31"/>
      <c r="P143" s="31"/>
      <c r="Q143" s="31"/>
      <c r="R143" s="30">
        <v>30</v>
      </c>
      <c r="S143" s="30"/>
      <c r="T143" s="208"/>
      <c r="U143" s="208"/>
      <c r="V143" s="250">
        <v>47.632999999999996</v>
      </c>
      <c r="W143" s="29" t="s">
        <v>658</v>
      </c>
      <c r="X143" s="263"/>
      <c r="Y143" s="264"/>
      <c r="Z143" s="299"/>
      <c r="AA143" s="32"/>
      <c r="AB143" s="32"/>
      <c r="AC143" s="35"/>
      <c r="AD143" s="32"/>
      <c r="AE143" s="34"/>
      <c r="AF143" s="34"/>
      <c r="AG143" s="34"/>
      <c r="AH143" s="34"/>
      <c r="AI143" s="35"/>
      <c r="AJ143" s="35"/>
      <c r="AK143" s="214"/>
      <c r="AL143" s="214"/>
      <c r="AM143" s="311"/>
      <c r="AN143" s="312"/>
      <c r="AO143" s="239"/>
      <c r="AP143" s="166">
        <v>0</v>
      </c>
      <c r="AQ143" s="167">
        <v>287</v>
      </c>
      <c r="AR143" s="171" t="s">
        <v>1</v>
      </c>
      <c r="AS143" s="172" t="s">
        <v>1</v>
      </c>
      <c r="AT143" s="156"/>
    </row>
    <row r="144" spans="1:50" ht="31.5" x14ac:dyDescent="0.2">
      <c r="A144" s="23" t="s">
        <v>659</v>
      </c>
      <c r="B144" s="498" t="s">
        <v>660</v>
      </c>
      <c r="C144" s="499">
        <f>0.785-0.051</f>
        <v>0.73399999999999999</v>
      </c>
      <c r="D144" s="497">
        <f t="shared" si="7"/>
        <v>0.73399999999999999</v>
      </c>
      <c r="E144" s="497">
        <f t="shared" si="8"/>
        <v>0</v>
      </c>
      <c r="F144" s="100" t="s">
        <v>36</v>
      </c>
      <c r="G144" s="26" t="s">
        <v>661</v>
      </c>
      <c r="H144" s="188"/>
      <c r="I144" s="326"/>
      <c r="J144" s="250">
        <v>0.73399999999999999</v>
      </c>
      <c r="K144" s="29" t="s">
        <v>662</v>
      </c>
      <c r="L144" s="30"/>
      <c r="M144" s="30"/>
      <c r="N144" s="31"/>
      <c r="O144" s="31"/>
      <c r="P144" s="31"/>
      <c r="Q144" s="31"/>
      <c r="R144" s="30"/>
      <c r="S144" s="30"/>
      <c r="T144" s="208"/>
      <c r="U144" s="208"/>
      <c r="V144" s="250">
        <v>0.73399999999999999</v>
      </c>
      <c r="W144" s="29" t="s">
        <v>662</v>
      </c>
      <c r="X144" s="263"/>
      <c r="Y144" s="264"/>
      <c r="Z144" s="299"/>
      <c r="AA144" s="32"/>
      <c r="AB144" s="32"/>
      <c r="AC144" s="35"/>
      <c r="AD144" s="32"/>
      <c r="AE144" s="34"/>
      <c r="AF144" s="34"/>
      <c r="AG144" s="34"/>
      <c r="AH144" s="34"/>
      <c r="AI144" s="35"/>
      <c r="AJ144" s="35"/>
      <c r="AK144" s="214"/>
      <c r="AL144" s="214"/>
      <c r="AM144" s="311"/>
      <c r="AN144" s="312"/>
      <c r="AO144" s="239"/>
      <c r="AP144" s="166">
        <v>0</v>
      </c>
      <c r="AQ144" s="167">
        <v>3</v>
      </c>
      <c r="AR144" s="171" t="s">
        <v>1</v>
      </c>
      <c r="AS144" s="172" t="s">
        <v>1</v>
      </c>
      <c r="AT144" s="156"/>
    </row>
    <row r="145" spans="1:50" ht="31.5" x14ac:dyDescent="0.2">
      <c r="A145" s="23" t="s">
        <v>663</v>
      </c>
      <c r="B145" s="498" t="s">
        <v>664</v>
      </c>
      <c r="C145" s="499">
        <f>143.166-0.692</f>
        <v>142.47399999999999</v>
      </c>
      <c r="D145" s="497">
        <f t="shared" si="7"/>
        <v>58.014000000000003</v>
      </c>
      <c r="E145" s="497">
        <f t="shared" si="8"/>
        <v>-84.45999999999998</v>
      </c>
      <c r="F145" s="100" t="s">
        <v>36</v>
      </c>
      <c r="G145" s="26" t="s">
        <v>665</v>
      </c>
      <c r="H145" s="188"/>
      <c r="I145" s="326"/>
      <c r="J145" s="250">
        <v>58.014000000000003</v>
      </c>
      <c r="K145" s="40" t="s">
        <v>666</v>
      </c>
      <c r="L145" s="40"/>
      <c r="M145" s="30"/>
      <c r="N145" s="30"/>
      <c r="O145" s="30"/>
      <c r="P145" s="30"/>
      <c r="Q145" s="30"/>
      <c r="R145" s="30">
        <v>30</v>
      </c>
      <c r="S145" s="30"/>
      <c r="T145" s="30"/>
      <c r="U145" s="30"/>
      <c r="V145" s="250">
        <v>58.014000000000003</v>
      </c>
      <c r="W145" s="40" t="s">
        <v>666</v>
      </c>
      <c r="X145" s="263"/>
      <c r="Y145" s="264"/>
      <c r="Z145" s="257"/>
      <c r="AA145" s="64"/>
      <c r="AB145" s="64"/>
      <c r="AC145" s="97"/>
      <c r="AD145" s="64"/>
      <c r="AE145" s="96"/>
      <c r="AF145" s="96"/>
      <c r="AG145" s="96"/>
      <c r="AH145" s="96"/>
      <c r="AI145" s="97"/>
      <c r="AJ145" s="97"/>
      <c r="AK145" s="222"/>
      <c r="AL145" s="222"/>
      <c r="AM145" s="311"/>
      <c r="AN145" s="312"/>
      <c r="AO145" s="239"/>
      <c r="AP145" s="166">
        <v>0</v>
      </c>
      <c r="AQ145" s="167">
        <v>375</v>
      </c>
      <c r="AR145" s="168" t="s">
        <v>667</v>
      </c>
      <c r="AS145" s="172" t="s">
        <v>33</v>
      </c>
      <c r="AT145" s="156"/>
    </row>
    <row r="146" spans="1:50" ht="31.5" x14ac:dyDescent="0.2">
      <c r="A146" s="23" t="s">
        <v>668</v>
      </c>
      <c r="B146" s="498" t="s">
        <v>669</v>
      </c>
      <c r="C146" s="499">
        <f>3.054-1.15</f>
        <v>1.9039999999999999</v>
      </c>
      <c r="D146" s="497">
        <f t="shared" si="7"/>
        <v>1.9039999999999999</v>
      </c>
      <c r="E146" s="497">
        <f t="shared" si="8"/>
        <v>0</v>
      </c>
      <c r="F146" s="100" t="s">
        <v>36</v>
      </c>
      <c r="G146" s="26" t="s">
        <v>670</v>
      </c>
      <c r="H146" s="188"/>
      <c r="I146" s="326"/>
      <c r="J146" s="252">
        <v>1.9039999999999999</v>
      </c>
      <c r="K146" s="29" t="s">
        <v>671</v>
      </c>
      <c r="L146" s="30"/>
      <c r="M146" s="30">
        <v>0</v>
      </c>
      <c r="N146" s="30"/>
      <c r="O146" s="30"/>
      <c r="P146" s="30"/>
      <c r="Q146" s="30"/>
      <c r="R146" s="30">
        <f>3.054-1.15</f>
        <v>1.9039999999999999</v>
      </c>
      <c r="S146" s="30" t="s">
        <v>671</v>
      </c>
      <c r="T146" s="30"/>
      <c r="U146" s="30"/>
      <c r="V146" s="252">
        <v>1.9039999999999999</v>
      </c>
      <c r="W146" s="29" t="s">
        <v>671</v>
      </c>
      <c r="X146" s="263"/>
      <c r="Y146" s="264"/>
      <c r="Z146" s="299"/>
      <c r="AA146" s="32"/>
      <c r="AB146" s="32"/>
      <c r="AC146" s="35"/>
      <c r="AD146" s="32"/>
      <c r="AE146" s="34"/>
      <c r="AF146" s="34"/>
      <c r="AG146" s="34"/>
      <c r="AH146" s="34"/>
      <c r="AI146" s="35"/>
      <c r="AJ146" s="35"/>
      <c r="AK146" s="214"/>
      <c r="AL146" s="214"/>
      <c r="AM146" s="311"/>
      <c r="AN146" s="312"/>
      <c r="AO146" s="239"/>
      <c r="AP146" s="166">
        <v>0</v>
      </c>
      <c r="AQ146" s="167"/>
      <c r="AR146" s="168" t="s">
        <v>60</v>
      </c>
      <c r="AS146" s="169" t="s">
        <v>61</v>
      </c>
      <c r="AT146" s="156"/>
    </row>
    <row r="147" spans="1:50" ht="31.5" x14ac:dyDescent="0.2">
      <c r="A147" s="23" t="s">
        <v>672</v>
      </c>
      <c r="B147" s="498" t="s">
        <v>673</v>
      </c>
      <c r="C147" s="499">
        <f>11.459-0.078</f>
        <v>11.381</v>
      </c>
      <c r="D147" s="497">
        <f t="shared" si="7"/>
        <v>11.381</v>
      </c>
      <c r="E147" s="497">
        <f t="shared" si="8"/>
        <v>0</v>
      </c>
      <c r="F147" s="100" t="s">
        <v>36</v>
      </c>
      <c r="G147" s="38" t="s">
        <v>674</v>
      </c>
      <c r="H147" s="188"/>
      <c r="I147" s="326"/>
      <c r="J147" s="250">
        <v>11.381</v>
      </c>
      <c r="K147" s="29" t="s">
        <v>675</v>
      </c>
      <c r="L147" s="30">
        <v>45.8</v>
      </c>
      <c r="M147" s="30" t="s">
        <v>676</v>
      </c>
      <c r="N147" s="30">
        <v>82</v>
      </c>
      <c r="O147" s="30">
        <v>0</v>
      </c>
      <c r="P147" s="30">
        <v>22</v>
      </c>
      <c r="Q147" s="30">
        <v>8</v>
      </c>
      <c r="R147" s="30"/>
      <c r="S147" s="30"/>
      <c r="T147" s="30"/>
      <c r="U147" s="30"/>
      <c r="V147" s="250">
        <v>11.381</v>
      </c>
      <c r="W147" s="29" t="s">
        <v>675</v>
      </c>
      <c r="X147" s="263"/>
      <c r="Y147" s="264"/>
      <c r="Z147" s="299"/>
      <c r="AA147" s="32"/>
      <c r="AB147" s="32"/>
      <c r="AC147" s="35"/>
      <c r="AD147" s="32"/>
      <c r="AE147" s="34"/>
      <c r="AF147" s="34"/>
      <c r="AG147" s="34"/>
      <c r="AH147" s="34"/>
      <c r="AI147" s="35"/>
      <c r="AJ147" s="35"/>
      <c r="AK147" s="214"/>
      <c r="AL147" s="214"/>
      <c r="AM147" s="311"/>
      <c r="AN147" s="312"/>
      <c r="AO147" s="239"/>
      <c r="AP147" s="166">
        <v>0</v>
      </c>
      <c r="AQ147" s="167">
        <v>70</v>
      </c>
      <c r="AR147" s="171" t="s">
        <v>1</v>
      </c>
      <c r="AS147" s="172" t="s">
        <v>1</v>
      </c>
      <c r="AT147" s="156"/>
    </row>
    <row r="148" spans="1:50" ht="31.5" x14ac:dyDescent="0.2">
      <c r="A148" s="23" t="s">
        <v>677</v>
      </c>
      <c r="B148" s="498" t="s">
        <v>678</v>
      </c>
      <c r="C148" s="499">
        <f>13.706-10.361</f>
        <v>3.3449999999999989</v>
      </c>
      <c r="D148" s="497">
        <f t="shared" si="7"/>
        <v>3.3449999999999989</v>
      </c>
      <c r="E148" s="497">
        <f t="shared" si="8"/>
        <v>0</v>
      </c>
      <c r="F148" s="100" t="s">
        <v>36</v>
      </c>
      <c r="G148" s="26" t="s">
        <v>679</v>
      </c>
      <c r="H148" s="188"/>
      <c r="I148" s="326"/>
      <c r="J148" s="250">
        <v>3.3449999999999989</v>
      </c>
      <c r="K148" s="29" t="s">
        <v>680</v>
      </c>
      <c r="L148" s="30"/>
      <c r="M148" s="30"/>
      <c r="N148" s="31"/>
      <c r="O148" s="31"/>
      <c r="P148" s="31"/>
      <c r="Q148" s="31"/>
      <c r="R148" s="30"/>
      <c r="S148" s="30"/>
      <c r="T148" s="208"/>
      <c r="U148" s="208"/>
      <c r="V148" s="250">
        <v>3.3449999999999989</v>
      </c>
      <c r="W148" s="29" t="s">
        <v>680</v>
      </c>
      <c r="X148" s="263"/>
      <c r="Y148" s="264"/>
      <c r="Z148" s="299"/>
      <c r="AA148" s="32"/>
      <c r="AB148" s="32"/>
      <c r="AC148" s="35"/>
      <c r="AD148" s="32"/>
      <c r="AE148" s="34"/>
      <c r="AF148" s="34"/>
      <c r="AG148" s="34"/>
      <c r="AH148" s="34"/>
      <c r="AI148" s="35"/>
      <c r="AJ148" s="35"/>
      <c r="AK148" s="214"/>
      <c r="AL148" s="214"/>
      <c r="AM148" s="311"/>
      <c r="AN148" s="312"/>
      <c r="AO148" s="239"/>
      <c r="AP148" s="166">
        <v>0</v>
      </c>
      <c r="AQ148" s="167">
        <v>15</v>
      </c>
      <c r="AR148" s="171" t="s">
        <v>1</v>
      </c>
      <c r="AS148" s="172" t="s">
        <v>1</v>
      </c>
      <c r="AT148" s="156"/>
    </row>
    <row r="149" spans="1:50" ht="31.5" x14ac:dyDescent="0.2">
      <c r="A149" s="23" t="s">
        <v>681</v>
      </c>
      <c r="B149" s="498" t="s">
        <v>682</v>
      </c>
      <c r="C149" s="499">
        <f>5.017-0.22</f>
        <v>4.7970000000000006</v>
      </c>
      <c r="D149" s="497">
        <f t="shared" si="7"/>
        <v>4.7970000000000006</v>
      </c>
      <c r="E149" s="497">
        <f t="shared" si="8"/>
        <v>0</v>
      </c>
      <c r="F149" s="100" t="s">
        <v>36</v>
      </c>
      <c r="G149" s="26" t="s">
        <v>683</v>
      </c>
      <c r="H149" s="188"/>
      <c r="I149" s="326"/>
      <c r="J149" s="250">
        <v>4.7970000000000006</v>
      </c>
      <c r="K149" s="29" t="s">
        <v>684</v>
      </c>
      <c r="L149" s="30"/>
      <c r="M149" s="30"/>
      <c r="N149" s="31"/>
      <c r="O149" s="31"/>
      <c r="P149" s="31"/>
      <c r="Q149" s="31"/>
      <c r="R149" s="30">
        <v>3</v>
      </c>
      <c r="S149" s="30"/>
      <c r="T149" s="208"/>
      <c r="U149" s="208"/>
      <c r="V149" s="250">
        <v>4.7970000000000006</v>
      </c>
      <c r="W149" s="29" t="s">
        <v>684</v>
      </c>
      <c r="X149" s="263"/>
      <c r="Y149" s="264"/>
      <c r="Z149" s="299"/>
      <c r="AA149" s="32"/>
      <c r="AB149" s="32"/>
      <c r="AC149" s="35"/>
      <c r="AD149" s="32"/>
      <c r="AE149" s="34"/>
      <c r="AF149" s="34"/>
      <c r="AG149" s="34"/>
      <c r="AH149" s="34"/>
      <c r="AI149" s="35"/>
      <c r="AJ149" s="35"/>
      <c r="AK149" s="214"/>
      <c r="AL149" s="214"/>
      <c r="AM149" s="311"/>
      <c r="AN149" s="312"/>
      <c r="AO149" s="239"/>
      <c r="AP149" s="166">
        <v>0</v>
      </c>
      <c r="AQ149" s="167">
        <v>33</v>
      </c>
      <c r="AR149" s="171" t="s">
        <v>1</v>
      </c>
      <c r="AS149" s="172" t="s">
        <v>1</v>
      </c>
      <c r="AT149" s="156"/>
    </row>
    <row r="150" spans="1:50" ht="42" x14ac:dyDescent="0.2">
      <c r="A150" s="23" t="s">
        <v>685</v>
      </c>
      <c r="B150" s="498" t="s">
        <v>686</v>
      </c>
      <c r="C150" s="499">
        <f>17.783-0.068</f>
        <v>17.715</v>
      </c>
      <c r="D150" s="497">
        <f t="shared" si="7"/>
        <v>17.715</v>
      </c>
      <c r="E150" s="497">
        <f t="shared" si="8"/>
        <v>0</v>
      </c>
      <c r="F150" s="100" t="s">
        <v>36</v>
      </c>
      <c r="G150" s="38" t="s">
        <v>687</v>
      </c>
      <c r="H150" s="188"/>
      <c r="I150" s="326"/>
      <c r="J150" s="250">
        <v>17.715</v>
      </c>
      <c r="K150" s="29" t="s">
        <v>688</v>
      </c>
      <c r="L150" s="30"/>
      <c r="M150" s="30"/>
      <c r="N150" s="31"/>
      <c r="O150" s="31"/>
      <c r="P150" s="31"/>
      <c r="Q150" s="31"/>
      <c r="R150" s="30">
        <v>9</v>
      </c>
      <c r="S150" s="30"/>
      <c r="T150" s="208"/>
      <c r="U150" s="208"/>
      <c r="V150" s="250">
        <v>17.715</v>
      </c>
      <c r="W150" s="29" t="s">
        <v>688</v>
      </c>
      <c r="X150" s="263"/>
      <c r="Y150" s="264"/>
      <c r="Z150" s="299"/>
      <c r="AA150" s="32"/>
      <c r="AB150" s="32"/>
      <c r="AC150" s="35"/>
      <c r="AD150" s="32"/>
      <c r="AE150" s="34"/>
      <c r="AF150" s="34"/>
      <c r="AG150" s="34"/>
      <c r="AH150" s="34"/>
      <c r="AI150" s="35"/>
      <c r="AJ150" s="35"/>
      <c r="AK150" s="214"/>
      <c r="AL150" s="214"/>
      <c r="AM150" s="311"/>
      <c r="AN150" s="312"/>
      <c r="AO150" s="239"/>
      <c r="AP150" s="166">
        <v>0</v>
      </c>
      <c r="AQ150" s="167">
        <v>116</v>
      </c>
      <c r="AR150" s="171" t="s">
        <v>1</v>
      </c>
      <c r="AS150" s="172" t="s">
        <v>1</v>
      </c>
      <c r="AT150" s="156"/>
    </row>
    <row r="151" spans="1:50" ht="42" x14ac:dyDescent="0.2">
      <c r="A151" s="23" t="s">
        <v>689</v>
      </c>
      <c r="B151" s="498" t="s">
        <v>690</v>
      </c>
      <c r="C151" s="499">
        <v>26.251000000000001</v>
      </c>
      <c r="D151" s="497">
        <f t="shared" si="7"/>
        <v>26.251000000000001</v>
      </c>
      <c r="E151" s="497">
        <f t="shared" si="8"/>
        <v>0</v>
      </c>
      <c r="F151" s="100" t="s">
        <v>36</v>
      </c>
      <c r="G151" s="38" t="s">
        <v>691</v>
      </c>
      <c r="H151" s="188"/>
      <c r="I151" s="326"/>
      <c r="J151" s="250">
        <v>26.251000000000001</v>
      </c>
      <c r="K151" s="29" t="s">
        <v>692</v>
      </c>
      <c r="L151" s="30"/>
      <c r="M151" s="30"/>
      <c r="N151" s="31"/>
      <c r="O151" s="31"/>
      <c r="P151" s="31"/>
      <c r="Q151" s="31"/>
      <c r="R151" s="30">
        <v>13</v>
      </c>
      <c r="S151" s="30"/>
      <c r="T151" s="208"/>
      <c r="U151" s="208"/>
      <c r="V151" s="250">
        <v>26.251000000000001</v>
      </c>
      <c r="W151" s="29" t="s">
        <v>692</v>
      </c>
      <c r="X151" s="263"/>
      <c r="Y151" s="264"/>
      <c r="Z151" s="299"/>
      <c r="AA151" s="32"/>
      <c r="AB151" s="32"/>
      <c r="AC151" s="35"/>
      <c r="AD151" s="32"/>
      <c r="AE151" s="34"/>
      <c r="AF151" s="34"/>
      <c r="AG151" s="34"/>
      <c r="AH151" s="34"/>
      <c r="AI151" s="35"/>
      <c r="AJ151" s="35"/>
      <c r="AK151" s="214"/>
      <c r="AL151" s="214"/>
      <c r="AM151" s="311"/>
      <c r="AN151" s="312"/>
      <c r="AO151" s="239"/>
      <c r="AP151" s="166">
        <v>0</v>
      </c>
      <c r="AQ151" s="167">
        <v>172</v>
      </c>
      <c r="AR151" s="171" t="s">
        <v>1</v>
      </c>
      <c r="AS151" s="172" t="s">
        <v>1</v>
      </c>
      <c r="AT151" s="156"/>
    </row>
    <row r="152" spans="1:50" s="2" customFormat="1" ht="42" x14ac:dyDescent="0.2">
      <c r="A152" s="23" t="s">
        <v>693</v>
      </c>
      <c r="B152" s="24" t="s">
        <v>694</v>
      </c>
      <c r="C152" s="90">
        <f>338.181-298.487</f>
        <v>39.69399999999996</v>
      </c>
      <c r="D152" s="422">
        <f t="shared" si="7"/>
        <v>39.69399999999996</v>
      </c>
      <c r="E152" s="422">
        <f t="shared" si="8"/>
        <v>0</v>
      </c>
      <c r="F152" s="90" t="s">
        <v>68</v>
      </c>
      <c r="G152" s="38" t="s">
        <v>695</v>
      </c>
      <c r="H152" s="188"/>
      <c r="I152" s="327" t="s">
        <v>694</v>
      </c>
      <c r="J152" s="250">
        <v>39.69399999999996</v>
      </c>
      <c r="K152" s="28" t="s">
        <v>696</v>
      </c>
      <c r="L152" s="46">
        <v>26.7</v>
      </c>
      <c r="M152" s="46" t="s">
        <v>697</v>
      </c>
      <c r="N152" s="47">
        <v>62</v>
      </c>
      <c r="O152" s="47">
        <v>9</v>
      </c>
      <c r="P152" s="47">
        <v>10</v>
      </c>
      <c r="Q152" s="47">
        <v>0</v>
      </c>
      <c r="R152" s="46"/>
      <c r="S152" s="46"/>
      <c r="T152" s="46"/>
      <c r="U152" s="46"/>
      <c r="V152" s="28">
        <v>39.69399999999996</v>
      </c>
      <c r="W152" s="29" t="s">
        <v>696</v>
      </c>
      <c r="X152" s="149"/>
      <c r="Y152" s="249" t="s">
        <v>696</v>
      </c>
      <c r="Z152" s="306"/>
      <c r="AA152" s="65"/>
      <c r="AB152" s="65"/>
      <c r="AC152" s="67"/>
      <c r="AD152" s="65"/>
      <c r="AE152" s="66"/>
      <c r="AF152" s="66"/>
      <c r="AG152" s="66"/>
      <c r="AH152" s="66"/>
      <c r="AI152" s="67"/>
      <c r="AJ152" s="67"/>
      <c r="AK152" s="67"/>
      <c r="AL152" s="67"/>
      <c r="AM152" s="203"/>
      <c r="AN152" s="300"/>
      <c r="AO152" s="239"/>
      <c r="AP152" s="166">
        <v>53</v>
      </c>
      <c r="AQ152" s="167">
        <v>342</v>
      </c>
      <c r="AR152" s="171" t="s">
        <v>1</v>
      </c>
      <c r="AS152" s="172" t="s">
        <v>1</v>
      </c>
      <c r="AT152" s="156"/>
      <c r="AU152" s="156"/>
      <c r="AV152" s="156"/>
      <c r="AW152" s="156"/>
      <c r="AX152" s="156"/>
    </row>
    <row r="153" spans="1:50" s="2" customFormat="1" ht="52.5" x14ac:dyDescent="0.2">
      <c r="A153" s="23" t="s">
        <v>698</v>
      </c>
      <c r="B153" s="24" t="s">
        <v>699</v>
      </c>
      <c r="C153" s="90">
        <f>28.565-0.863</f>
        <v>27.702000000000002</v>
      </c>
      <c r="D153" s="422">
        <f t="shared" si="7"/>
        <v>27.702000000000002</v>
      </c>
      <c r="E153" s="422">
        <f t="shared" si="8"/>
        <v>0</v>
      </c>
      <c r="F153" s="90" t="s">
        <v>68</v>
      </c>
      <c r="G153" s="26" t="s">
        <v>700</v>
      </c>
      <c r="H153" s="188"/>
      <c r="I153" s="327" t="s">
        <v>699</v>
      </c>
      <c r="J153" s="250">
        <v>27.702000000000002</v>
      </c>
      <c r="K153" s="28" t="s">
        <v>701</v>
      </c>
      <c r="L153" s="46">
        <v>6</v>
      </c>
      <c r="M153" s="46" t="s">
        <v>702</v>
      </c>
      <c r="N153" s="47">
        <v>12</v>
      </c>
      <c r="O153" s="47">
        <v>1</v>
      </c>
      <c r="P153" s="47">
        <v>0</v>
      </c>
      <c r="Q153" s="47">
        <v>0</v>
      </c>
      <c r="R153" s="46"/>
      <c r="S153" s="46"/>
      <c r="T153" s="195"/>
      <c r="U153" s="195"/>
      <c r="V153" s="263"/>
      <c r="W153" s="263"/>
      <c r="X153" s="263"/>
      <c r="Y153" s="264"/>
      <c r="Z153" s="306"/>
      <c r="AA153" s="65"/>
      <c r="AB153" s="65"/>
      <c r="AC153" s="67"/>
      <c r="AD153" s="65"/>
      <c r="AE153" s="66"/>
      <c r="AF153" s="66"/>
      <c r="AG153" s="66"/>
      <c r="AH153" s="66"/>
      <c r="AI153" s="67"/>
      <c r="AJ153" s="67"/>
      <c r="AK153" s="217"/>
      <c r="AL153" s="217"/>
      <c r="AM153" s="311"/>
      <c r="AN153" s="312"/>
      <c r="AO153" s="239"/>
      <c r="AP153" s="166">
        <v>0</v>
      </c>
      <c r="AQ153" s="167">
        <v>172</v>
      </c>
      <c r="AR153" s="171" t="s">
        <v>1</v>
      </c>
      <c r="AS153" s="172" t="s">
        <v>1</v>
      </c>
      <c r="AT153" s="155"/>
      <c r="AU153" s="156"/>
      <c r="AV153" s="156"/>
      <c r="AW153" s="156"/>
      <c r="AX153" s="156"/>
    </row>
    <row r="154" spans="1:50" ht="42" x14ac:dyDescent="0.2">
      <c r="A154" s="23" t="s">
        <v>703</v>
      </c>
      <c r="B154" s="24" t="s">
        <v>704</v>
      </c>
      <c r="C154" s="90">
        <f>1.672-0.054</f>
        <v>1.6179999999999999</v>
      </c>
      <c r="D154" s="422">
        <f t="shared" si="7"/>
        <v>1.6179999999999999</v>
      </c>
      <c r="E154" s="422">
        <f t="shared" si="8"/>
        <v>0</v>
      </c>
      <c r="F154" s="25" t="s">
        <v>68</v>
      </c>
      <c r="G154" s="26" t="s">
        <v>705</v>
      </c>
      <c r="H154" s="188"/>
      <c r="I154" s="327" t="s">
        <v>704</v>
      </c>
      <c r="J154" s="250">
        <v>1.6179999999999999</v>
      </c>
      <c r="K154" s="29" t="s">
        <v>706</v>
      </c>
      <c r="L154" s="30"/>
      <c r="M154" s="30"/>
      <c r="N154" s="31"/>
      <c r="O154" s="31"/>
      <c r="P154" s="31"/>
      <c r="Q154" s="31"/>
      <c r="R154" s="30"/>
      <c r="S154" s="30"/>
      <c r="T154" s="208"/>
      <c r="U154" s="208"/>
      <c r="V154" s="263"/>
      <c r="W154" s="263"/>
      <c r="X154" s="263"/>
      <c r="Y154" s="264"/>
      <c r="Z154" s="299"/>
      <c r="AA154" s="32"/>
      <c r="AB154" s="32"/>
      <c r="AC154" s="35"/>
      <c r="AD154" s="32"/>
      <c r="AE154" s="34"/>
      <c r="AF154" s="34"/>
      <c r="AG154" s="34"/>
      <c r="AH154" s="34"/>
      <c r="AI154" s="35"/>
      <c r="AJ154" s="35"/>
      <c r="AK154" s="214"/>
      <c r="AL154" s="214"/>
      <c r="AM154" s="311"/>
      <c r="AN154" s="312"/>
      <c r="AO154" s="239"/>
      <c r="AP154" s="166">
        <v>0</v>
      </c>
      <c r="AQ154" s="167">
        <v>7</v>
      </c>
      <c r="AR154" s="171" t="s">
        <v>1</v>
      </c>
      <c r="AS154" s="172" t="s">
        <v>1</v>
      </c>
    </row>
    <row r="155" spans="1:50" ht="42" x14ac:dyDescent="0.2">
      <c r="A155" s="23" t="s">
        <v>707</v>
      </c>
      <c r="B155" s="24" t="s">
        <v>708</v>
      </c>
      <c r="C155" s="90">
        <f>1.77-0.092</f>
        <v>1.6779999999999999</v>
      </c>
      <c r="D155" s="422">
        <f t="shared" si="7"/>
        <v>1.6779999999999999</v>
      </c>
      <c r="E155" s="422">
        <f t="shared" si="8"/>
        <v>0</v>
      </c>
      <c r="F155" s="25" t="s">
        <v>68</v>
      </c>
      <c r="G155" s="26" t="s">
        <v>709</v>
      </c>
      <c r="H155" s="188"/>
      <c r="I155" s="327" t="s">
        <v>708</v>
      </c>
      <c r="J155" s="250">
        <v>1.6779999999999999</v>
      </c>
      <c r="K155" s="29" t="s">
        <v>710</v>
      </c>
      <c r="L155" s="30"/>
      <c r="M155" s="30"/>
      <c r="N155" s="31"/>
      <c r="O155" s="31"/>
      <c r="P155" s="31"/>
      <c r="Q155" s="31"/>
      <c r="R155" s="30"/>
      <c r="S155" s="30"/>
      <c r="T155" s="208"/>
      <c r="U155" s="208"/>
      <c r="V155" s="263"/>
      <c r="W155" s="263"/>
      <c r="X155" s="263"/>
      <c r="Y155" s="264"/>
      <c r="Z155" s="299"/>
      <c r="AA155" s="32"/>
      <c r="AB155" s="32"/>
      <c r="AC155" s="35"/>
      <c r="AD155" s="32"/>
      <c r="AE155" s="34"/>
      <c r="AF155" s="34"/>
      <c r="AG155" s="34"/>
      <c r="AH155" s="34"/>
      <c r="AI155" s="35"/>
      <c r="AJ155" s="35"/>
      <c r="AK155" s="214"/>
      <c r="AL155" s="214"/>
      <c r="AM155" s="311"/>
      <c r="AN155" s="312"/>
      <c r="AO155" s="239"/>
      <c r="AP155" s="166">
        <v>0</v>
      </c>
      <c r="AQ155" s="167">
        <v>10</v>
      </c>
      <c r="AR155" s="171" t="s">
        <v>1</v>
      </c>
      <c r="AS155" s="172" t="s">
        <v>1</v>
      </c>
    </row>
    <row r="156" spans="1:50" s="2" customFormat="1" ht="94.5" x14ac:dyDescent="0.2">
      <c r="A156" s="23" t="s">
        <v>711</v>
      </c>
      <c r="B156" s="24" t="s">
        <v>712</v>
      </c>
      <c r="C156" s="90">
        <f>296.748-87.66</f>
        <v>209.08799999999999</v>
      </c>
      <c r="D156" s="422">
        <f t="shared" si="7"/>
        <v>209.08800000000002</v>
      </c>
      <c r="E156" s="422">
        <f t="shared" si="8"/>
        <v>0</v>
      </c>
      <c r="F156" s="90" t="s">
        <v>713</v>
      </c>
      <c r="G156" s="38" t="s">
        <v>714</v>
      </c>
      <c r="H156" s="188" t="s">
        <v>715</v>
      </c>
      <c r="I156" s="328" t="s">
        <v>716</v>
      </c>
      <c r="J156" s="250">
        <v>55.655000000000001</v>
      </c>
      <c r="K156" s="57" t="s">
        <v>717</v>
      </c>
      <c r="L156" s="30">
        <v>14.8</v>
      </c>
      <c r="M156" s="30" t="s">
        <v>718</v>
      </c>
      <c r="N156" s="31">
        <v>31</v>
      </c>
      <c r="O156" s="31">
        <v>1</v>
      </c>
      <c r="P156" s="31">
        <v>0</v>
      </c>
      <c r="Q156" s="31">
        <v>0</v>
      </c>
      <c r="R156" s="30">
        <f>90.72-89.62+100.9-99.56</f>
        <v>2.4399999999999977</v>
      </c>
      <c r="S156" s="30" t="s">
        <v>719</v>
      </c>
      <c r="T156" s="30"/>
      <c r="U156" s="30"/>
      <c r="V156" s="28">
        <v>55.655000000000001</v>
      </c>
      <c r="W156" s="40" t="s">
        <v>717</v>
      </c>
      <c r="X156" s="149"/>
      <c r="Y156" s="253" t="s">
        <v>717</v>
      </c>
      <c r="Z156" s="309">
        <f>10.8+142.633</f>
        <v>153.43300000000002</v>
      </c>
      <c r="AA156" s="98" t="s">
        <v>1689</v>
      </c>
      <c r="AB156" s="98">
        <v>79.533000000000001</v>
      </c>
      <c r="AC156" s="61">
        <v>60.8</v>
      </c>
      <c r="AD156" s="333" t="s">
        <v>1690</v>
      </c>
      <c r="AE156" s="333">
        <v>143</v>
      </c>
      <c r="AF156" s="333">
        <v>0</v>
      </c>
      <c r="AG156" s="333">
        <v>143</v>
      </c>
      <c r="AH156" s="333">
        <v>11</v>
      </c>
      <c r="AI156" s="333">
        <v>13.1</v>
      </c>
      <c r="AJ156" s="77" t="s">
        <v>1691</v>
      </c>
      <c r="AK156" s="333">
        <v>13.1</v>
      </c>
      <c r="AL156" s="77" t="s">
        <v>1691</v>
      </c>
      <c r="AM156" s="76">
        <f>10.8+142.633</f>
        <v>153.43300000000002</v>
      </c>
      <c r="AN156" s="304" t="s">
        <v>1625</v>
      </c>
      <c r="AO156" s="240" t="s">
        <v>720</v>
      </c>
      <c r="AP156" s="166">
        <v>0</v>
      </c>
      <c r="AQ156" s="175">
        <v>0</v>
      </c>
      <c r="AR156" s="168" t="s">
        <v>60</v>
      </c>
      <c r="AS156" s="169" t="s">
        <v>33</v>
      </c>
      <c r="AT156" s="156"/>
      <c r="AU156" s="156"/>
      <c r="AV156" s="156"/>
      <c r="AW156" s="156"/>
      <c r="AX156" s="156"/>
    </row>
    <row r="157" spans="1:50" ht="31.5" x14ac:dyDescent="0.2">
      <c r="A157" s="23" t="s">
        <v>721</v>
      </c>
      <c r="B157" s="24" t="s">
        <v>722</v>
      </c>
      <c r="C157" s="90">
        <f>7.75-0.487</f>
        <v>7.2629999999999999</v>
      </c>
      <c r="D157" s="422">
        <f t="shared" si="7"/>
        <v>7.2629999999999999</v>
      </c>
      <c r="E157" s="422">
        <f t="shared" si="8"/>
        <v>0</v>
      </c>
      <c r="F157" s="25" t="s">
        <v>68</v>
      </c>
      <c r="G157" s="26" t="s">
        <v>723</v>
      </c>
      <c r="H157" s="188"/>
      <c r="I157" s="326"/>
      <c r="J157" s="250">
        <v>7.2629999999999999</v>
      </c>
      <c r="K157" s="29" t="s">
        <v>724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263"/>
      <c r="W157" s="263"/>
      <c r="X157" s="263"/>
      <c r="Y157" s="264"/>
      <c r="Z157" s="299"/>
      <c r="AA157" s="32"/>
      <c r="AB157" s="32"/>
      <c r="AC157" s="35"/>
      <c r="AD157" s="32"/>
      <c r="AE157" s="34"/>
      <c r="AF157" s="34"/>
      <c r="AG157" s="34"/>
      <c r="AH157" s="34"/>
      <c r="AI157" s="35"/>
      <c r="AJ157" s="35"/>
      <c r="AK157" s="214"/>
      <c r="AL157" s="214"/>
      <c r="AM157" s="311"/>
      <c r="AN157" s="312"/>
      <c r="AO157" s="239"/>
      <c r="AP157" s="166">
        <v>0</v>
      </c>
      <c r="AQ157" s="167">
        <v>39</v>
      </c>
      <c r="AR157" s="171" t="s">
        <v>1</v>
      </c>
      <c r="AS157" s="172" t="s">
        <v>1</v>
      </c>
    </row>
    <row r="158" spans="1:50" ht="42" x14ac:dyDescent="0.2">
      <c r="A158" s="23" t="s">
        <v>725</v>
      </c>
      <c r="B158" s="24" t="s">
        <v>726</v>
      </c>
      <c r="C158" s="90">
        <f>17.101-7.774</f>
        <v>9.3269999999999982</v>
      </c>
      <c r="D158" s="422">
        <f t="shared" si="7"/>
        <v>9.3269999999999982</v>
      </c>
      <c r="E158" s="422">
        <f t="shared" si="8"/>
        <v>0</v>
      </c>
      <c r="F158" s="25" t="s">
        <v>68</v>
      </c>
      <c r="G158" s="26" t="s">
        <v>727</v>
      </c>
      <c r="H158" s="188"/>
      <c r="I158" s="326"/>
      <c r="J158" s="250">
        <v>9.3269999999999982</v>
      </c>
      <c r="K158" s="29" t="s">
        <v>728</v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263"/>
      <c r="W158" s="263"/>
      <c r="X158" s="263"/>
      <c r="Y158" s="264"/>
      <c r="Z158" s="299"/>
      <c r="AA158" s="32"/>
      <c r="AB158" s="32"/>
      <c r="AC158" s="35"/>
      <c r="AD158" s="32"/>
      <c r="AE158" s="34"/>
      <c r="AF158" s="34"/>
      <c r="AG158" s="34"/>
      <c r="AH158" s="34"/>
      <c r="AI158" s="35"/>
      <c r="AJ158" s="35"/>
      <c r="AK158" s="214"/>
      <c r="AL158" s="214"/>
      <c r="AM158" s="311"/>
      <c r="AN158" s="312"/>
      <c r="AO158" s="239"/>
      <c r="AP158" s="166">
        <v>0</v>
      </c>
      <c r="AQ158" s="167">
        <v>56</v>
      </c>
      <c r="AR158" s="171" t="s">
        <v>1</v>
      </c>
      <c r="AS158" s="172" t="s">
        <v>1</v>
      </c>
    </row>
    <row r="159" spans="1:50" ht="42" x14ac:dyDescent="0.2">
      <c r="A159" s="23" t="s">
        <v>729</v>
      </c>
      <c r="B159" s="24" t="s">
        <v>730</v>
      </c>
      <c r="C159" s="90">
        <f>25.506-0.255</f>
        <v>25.251000000000001</v>
      </c>
      <c r="D159" s="422">
        <f t="shared" si="7"/>
        <v>25.251000000000001</v>
      </c>
      <c r="E159" s="422">
        <f t="shared" si="8"/>
        <v>0</v>
      </c>
      <c r="F159" s="25" t="s">
        <v>731</v>
      </c>
      <c r="G159" s="26" t="s">
        <v>732</v>
      </c>
      <c r="H159" s="188"/>
      <c r="I159" s="326"/>
      <c r="J159" s="250">
        <v>23.15</v>
      </c>
      <c r="K159" s="40" t="s">
        <v>733</v>
      </c>
      <c r="L159" s="30">
        <v>2.1</v>
      </c>
      <c r="M159" s="30" t="s">
        <v>1657</v>
      </c>
      <c r="N159" s="31">
        <v>5</v>
      </c>
      <c r="O159" s="31">
        <v>0</v>
      </c>
      <c r="P159" s="31">
        <v>3</v>
      </c>
      <c r="Q159" s="31">
        <v>0</v>
      </c>
      <c r="R159" s="30"/>
      <c r="S159" s="30"/>
      <c r="T159" s="30"/>
      <c r="U159" s="30"/>
      <c r="V159" s="263"/>
      <c r="W159" s="263"/>
      <c r="X159" s="263"/>
      <c r="Y159" s="264"/>
      <c r="Z159" s="309">
        <v>2.1010000000000018</v>
      </c>
      <c r="AA159" s="98" t="s">
        <v>734</v>
      </c>
      <c r="AB159" s="98">
        <v>2.1</v>
      </c>
      <c r="AC159" s="79"/>
      <c r="AD159" s="76"/>
      <c r="AE159" s="78"/>
      <c r="AF159" s="78"/>
      <c r="AG159" s="78"/>
      <c r="AH159" s="78"/>
      <c r="AI159" s="79"/>
      <c r="AJ159" s="79"/>
      <c r="AK159" s="79"/>
      <c r="AL159" s="79"/>
      <c r="AM159" s="333"/>
      <c r="AN159" s="333"/>
      <c r="AO159" s="239"/>
      <c r="AP159" s="166">
        <v>5</v>
      </c>
      <c r="AQ159" s="167">
        <v>163</v>
      </c>
      <c r="AR159" s="171" t="s">
        <v>1</v>
      </c>
      <c r="AS159" s="172" t="s">
        <v>1</v>
      </c>
    </row>
    <row r="160" spans="1:50" ht="21" x14ac:dyDescent="0.2">
      <c r="A160" s="23" t="s">
        <v>735</v>
      </c>
      <c r="B160" s="24" t="s">
        <v>736</v>
      </c>
      <c r="C160" s="90">
        <f>5.933-0.326</f>
        <v>5.6070000000000002</v>
      </c>
      <c r="D160" s="422">
        <f t="shared" si="7"/>
        <v>5.6070000000000002</v>
      </c>
      <c r="E160" s="422">
        <f t="shared" si="8"/>
        <v>0</v>
      </c>
      <c r="F160" s="25" t="s">
        <v>731</v>
      </c>
      <c r="G160" s="11"/>
      <c r="H160" s="188" t="s">
        <v>737</v>
      </c>
      <c r="I160" s="326"/>
      <c r="J160" s="257"/>
      <c r="K160" s="27"/>
      <c r="L160" s="91"/>
      <c r="M160" s="91"/>
      <c r="N160" s="92"/>
      <c r="O160" s="92"/>
      <c r="P160" s="92"/>
      <c r="Q160" s="92"/>
      <c r="R160" s="91"/>
      <c r="S160" s="91"/>
      <c r="T160" s="213"/>
      <c r="U160" s="213"/>
      <c r="V160" s="263"/>
      <c r="W160" s="263"/>
      <c r="X160" s="263"/>
      <c r="Y160" s="264"/>
      <c r="Z160" s="308">
        <v>5.6070000000000002</v>
      </c>
      <c r="AA160" s="59" t="s">
        <v>738</v>
      </c>
      <c r="AB160" s="247">
        <v>0</v>
      </c>
      <c r="AC160" s="334"/>
      <c r="AD160" s="98"/>
      <c r="AE160" s="335"/>
      <c r="AF160" s="335"/>
      <c r="AG160" s="335"/>
      <c r="AH160" s="335"/>
      <c r="AI160" s="334">
        <f>5.933-0.326</f>
        <v>5.6070000000000002</v>
      </c>
      <c r="AJ160" s="59" t="s">
        <v>738</v>
      </c>
      <c r="AK160" s="61"/>
      <c r="AL160" s="61"/>
      <c r="AM160" s="333"/>
      <c r="AN160" s="333"/>
      <c r="AO160" s="239"/>
      <c r="AP160" s="166">
        <v>0</v>
      </c>
      <c r="AQ160" s="167">
        <v>0</v>
      </c>
      <c r="AR160" s="168" t="s">
        <v>144</v>
      </c>
      <c r="AS160" s="169" t="s">
        <v>51</v>
      </c>
    </row>
    <row r="161" spans="1:47" ht="52.5" x14ac:dyDescent="0.2">
      <c r="A161" s="23" t="s">
        <v>739</v>
      </c>
      <c r="B161" s="24" t="s">
        <v>740</v>
      </c>
      <c r="C161" s="90">
        <f>61.125-0.314</f>
        <v>60.811</v>
      </c>
      <c r="D161" s="422">
        <f t="shared" si="7"/>
        <v>60.811</v>
      </c>
      <c r="E161" s="422">
        <f t="shared" si="8"/>
        <v>0</v>
      </c>
      <c r="F161" s="25" t="s">
        <v>731</v>
      </c>
      <c r="G161" s="38" t="s">
        <v>741</v>
      </c>
      <c r="H161" s="188"/>
      <c r="I161" s="326"/>
      <c r="J161" s="250">
        <v>5.47</v>
      </c>
      <c r="K161" s="29" t="s">
        <v>742</v>
      </c>
      <c r="L161" s="28">
        <v>1.5</v>
      </c>
      <c r="M161" s="28" t="s">
        <v>1790</v>
      </c>
      <c r="N161" s="48">
        <v>3</v>
      </c>
      <c r="O161" s="48">
        <v>0</v>
      </c>
      <c r="P161" s="48">
        <v>2</v>
      </c>
      <c r="Q161" s="48">
        <v>0</v>
      </c>
      <c r="R161" s="28"/>
      <c r="S161" s="28"/>
      <c r="T161" s="28"/>
      <c r="U161" s="28"/>
      <c r="V161" s="28"/>
      <c r="W161" s="29" t="s">
        <v>742</v>
      </c>
      <c r="X161" s="149">
        <v>5.47</v>
      </c>
      <c r="Y161" s="249" t="s">
        <v>742</v>
      </c>
      <c r="Z161" s="301">
        <v>55.341000000000001</v>
      </c>
      <c r="AA161" s="76" t="s">
        <v>743</v>
      </c>
      <c r="AB161" s="76">
        <v>32.441000000000003</v>
      </c>
      <c r="AC161" s="79">
        <f>3.9+6.3+9.5</f>
        <v>19.7</v>
      </c>
      <c r="AD161" s="79" t="s">
        <v>1658</v>
      </c>
      <c r="AE161" s="78">
        <v>51</v>
      </c>
      <c r="AF161" s="78">
        <v>0</v>
      </c>
      <c r="AG161" s="78">
        <v>23</v>
      </c>
      <c r="AH161" s="78">
        <v>0</v>
      </c>
      <c r="AI161" s="79">
        <v>3.2</v>
      </c>
      <c r="AJ161" s="79" t="s">
        <v>1659</v>
      </c>
      <c r="AK161" s="79">
        <v>6</v>
      </c>
      <c r="AL161" s="79" t="s">
        <v>1660</v>
      </c>
      <c r="AM161" s="76">
        <v>55.341000000000001</v>
      </c>
      <c r="AN161" s="304" t="s">
        <v>743</v>
      </c>
      <c r="AO161" s="239"/>
      <c r="AP161" s="166">
        <v>61</v>
      </c>
      <c r="AQ161" s="167">
        <v>385</v>
      </c>
      <c r="AR161" s="168" t="s">
        <v>667</v>
      </c>
      <c r="AS161" s="169" t="s">
        <v>744</v>
      </c>
    </row>
    <row r="162" spans="1:47" ht="42" x14ac:dyDescent="0.2">
      <c r="A162" s="23" t="s">
        <v>745</v>
      </c>
      <c r="B162" s="24" t="s">
        <v>746</v>
      </c>
      <c r="C162" s="90">
        <f>20.941-0.313</f>
        <v>20.628</v>
      </c>
      <c r="D162" s="422">
        <f t="shared" si="7"/>
        <v>20.628</v>
      </c>
      <c r="E162" s="422">
        <f t="shared" si="8"/>
        <v>0</v>
      </c>
      <c r="F162" s="25" t="s">
        <v>731</v>
      </c>
      <c r="G162" s="26" t="s">
        <v>747</v>
      </c>
      <c r="H162" s="188"/>
      <c r="I162" s="326"/>
      <c r="J162" s="257"/>
      <c r="K162" s="27"/>
      <c r="L162" s="49"/>
      <c r="M162" s="49"/>
      <c r="N162" s="50"/>
      <c r="O162" s="50"/>
      <c r="P162" s="50"/>
      <c r="Q162" s="50"/>
      <c r="R162" s="49"/>
      <c r="S162" s="49"/>
      <c r="T162" s="213"/>
      <c r="U162" s="213"/>
      <c r="V162" s="263"/>
      <c r="W162" s="263"/>
      <c r="X162" s="263"/>
      <c r="Y162" s="264"/>
      <c r="Z162" s="308">
        <v>20.628</v>
      </c>
      <c r="AA162" s="59" t="s">
        <v>748</v>
      </c>
      <c r="AB162" s="59">
        <v>0</v>
      </c>
      <c r="AC162" s="61">
        <v>17.8</v>
      </c>
      <c r="AD162" s="98" t="s">
        <v>1661</v>
      </c>
      <c r="AE162" s="60">
        <v>41</v>
      </c>
      <c r="AF162" s="60">
        <v>0</v>
      </c>
      <c r="AG162" s="60">
        <v>39</v>
      </c>
      <c r="AH162" s="60">
        <v>0</v>
      </c>
      <c r="AI162" s="61">
        <f>1.8-0.313+20.941-19.6</f>
        <v>2.8279999999999959</v>
      </c>
      <c r="AJ162" s="98" t="s">
        <v>749</v>
      </c>
      <c r="AK162" s="61"/>
      <c r="AL162" s="61"/>
      <c r="AM162" s="333"/>
      <c r="AN162" s="333"/>
      <c r="AO162" s="239"/>
      <c r="AP162" s="166">
        <v>0</v>
      </c>
      <c r="AQ162" s="167">
        <v>0</v>
      </c>
      <c r="AR162" s="168" t="s">
        <v>60</v>
      </c>
      <c r="AS162" s="169" t="s">
        <v>51</v>
      </c>
    </row>
    <row r="163" spans="1:47" ht="52.5" x14ac:dyDescent="0.2">
      <c r="A163" s="23" t="s">
        <v>750</v>
      </c>
      <c r="B163" s="24" t="s">
        <v>751</v>
      </c>
      <c r="C163" s="90">
        <f>33.305-0.144</f>
        <v>33.161000000000001</v>
      </c>
      <c r="D163" s="422">
        <f t="shared" si="7"/>
        <v>33.161000000000001</v>
      </c>
      <c r="E163" s="422">
        <f t="shared" si="8"/>
        <v>0</v>
      </c>
      <c r="F163" s="25" t="s">
        <v>731</v>
      </c>
      <c r="G163" s="38" t="s">
        <v>752</v>
      </c>
      <c r="H163" s="188"/>
      <c r="I163" s="326"/>
      <c r="J163" s="252">
        <v>33.161000000000001</v>
      </c>
      <c r="K163" s="28" t="s">
        <v>753</v>
      </c>
      <c r="L163" s="46">
        <v>18</v>
      </c>
      <c r="M163" s="30" t="s">
        <v>1791</v>
      </c>
      <c r="N163" s="31">
        <v>16</v>
      </c>
      <c r="O163" s="31">
        <v>0</v>
      </c>
      <c r="P163" s="31">
        <v>9</v>
      </c>
      <c r="Q163" s="31">
        <v>1</v>
      </c>
      <c r="R163" s="30"/>
      <c r="S163" s="30"/>
      <c r="T163" s="30"/>
      <c r="U163" s="30"/>
      <c r="V163" s="29"/>
      <c r="W163" s="28" t="s">
        <v>753</v>
      </c>
      <c r="X163" s="150">
        <v>33.161000000000001</v>
      </c>
      <c r="Y163" s="269" t="s">
        <v>753</v>
      </c>
      <c r="Z163" s="299"/>
      <c r="AA163" s="32"/>
      <c r="AB163" s="32"/>
      <c r="AC163" s="35"/>
      <c r="AD163" s="33"/>
      <c r="AE163" s="37"/>
      <c r="AF163" s="37"/>
      <c r="AG163" s="37"/>
      <c r="AH163" s="37"/>
      <c r="AI163" s="69"/>
      <c r="AJ163" s="69"/>
      <c r="AK163" s="35"/>
      <c r="AL163" s="35"/>
      <c r="AM163" s="203"/>
      <c r="AN163" s="300"/>
      <c r="AO163" s="239"/>
      <c r="AP163" s="167">
        <v>0</v>
      </c>
      <c r="AQ163" s="167">
        <v>0</v>
      </c>
      <c r="AR163" s="168" t="s">
        <v>60</v>
      </c>
      <c r="AS163" s="169" t="s">
        <v>51</v>
      </c>
    </row>
    <row r="164" spans="1:47" ht="42" x14ac:dyDescent="0.2">
      <c r="A164" s="23" t="s">
        <v>754</v>
      </c>
      <c r="B164" s="24" t="s">
        <v>755</v>
      </c>
      <c r="C164" s="90">
        <f>22.397-20.134</f>
        <v>2.2629999999999981</v>
      </c>
      <c r="D164" s="422">
        <f t="shared" si="7"/>
        <v>2.2629999999999981</v>
      </c>
      <c r="E164" s="422">
        <f t="shared" si="8"/>
        <v>0</v>
      </c>
      <c r="F164" s="25" t="s">
        <v>731</v>
      </c>
      <c r="G164" s="26" t="s">
        <v>756</v>
      </c>
      <c r="H164" s="188"/>
      <c r="I164" s="326"/>
      <c r="J164" s="252">
        <v>2.2629999999999981</v>
      </c>
      <c r="K164" s="28" t="s">
        <v>757</v>
      </c>
      <c r="L164" s="47"/>
      <c r="M164" s="30">
        <v>0</v>
      </c>
      <c r="N164" s="31"/>
      <c r="O164" s="31"/>
      <c r="P164" s="31"/>
      <c r="Q164" s="31"/>
      <c r="R164" s="30">
        <f>22.397-20.134</f>
        <v>2.2629999999999981</v>
      </c>
      <c r="S164" s="30" t="s">
        <v>757</v>
      </c>
      <c r="T164" s="30"/>
      <c r="U164" s="30"/>
      <c r="V164" s="263"/>
      <c r="W164" s="263"/>
      <c r="X164" s="263"/>
      <c r="Y164" s="264"/>
      <c r="Z164" s="299"/>
      <c r="AA164" s="32"/>
      <c r="AB164" s="32"/>
      <c r="AC164" s="35"/>
      <c r="AD164" s="33"/>
      <c r="AE164" s="37"/>
      <c r="AF164" s="37"/>
      <c r="AG164" s="37"/>
      <c r="AH164" s="37"/>
      <c r="AI164" s="69"/>
      <c r="AJ164" s="69"/>
      <c r="AK164" s="69"/>
      <c r="AL164" s="69"/>
      <c r="AM164" s="333"/>
      <c r="AN164" s="333"/>
      <c r="AO164" s="239"/>
      <c r="AP164" s="167">
        <v>0</v>
      </c>
      <c r="AQ164" s="167">
        <v>0</v>
      </c>
      <c r="AR164" s="168" t="s">
        <v>60</v>
      </c>
      <c r="AS164" s="169" t="s">
        <v>51</v>
      </c>
    </row>
    <row r="165" spans="1:47" ht="52.5" x14ac:dyDescent="0.2">
      <c r="A165" s="23" t="s">
        <v>758</v>
      </c>
      <c r="B165" s="24" t="s">
        <v>759</v>
      </c>
      <c r="C165" s="90">
        <f>151.65-93.074</f>
        <v>58.576000000000008</v>
      </c>
      <c r="D165" s="422">
        <f t="shared" si="7"/>
        <v>58.576000000000001</v>
      </c>
      <c r="E165" s="497">
        <f t="shared" si="8"/>
        <v>0</v>
      </c>
      <c r="F165" s="25" t="s">
        <v>731</v>
      </c>
      <c r="G165" s="38" t="s">
        <v>760</v>
      </c>
      <c r="H165" s="188"/>
      <c r="I165" s="326"/>
      <c r="J165" s="250">
        <v>36.554000000000002</v>
      </c>
      <c r="K165" s="40" t="s">
        <v>1662</v>
      </c>
      <c r="L165" s="486">
        <v>32.4</v>
      </c>
      <c r="M165" s="57" t="s">
        <v>1663</v>
      </c>
      <c r="N165" s="58">
        <v>44</v>
      </c>
      <c r="O165" s="58">
        <v>0</v>
      </c>
      <c r="P165" s="58">
        <v>43</v>
      </c>
      <c r="Q165" s="58">
        <v>7</v>
      </c>
      <c r="R165" s="57"/>
      <c r="S165" s="57"/>
      <c r="T165" s="57"/>
      <c r="U165" s="57"/>
      <c r="V165" s="28"/>
      <c r="W165" s="40" t="s">
        <v>1662</v>
      </c>
      <c r="X165" s="502">
        <v>36.554000000000002</v>
      </c>
      <c r="Y165" s="503" t="s">
        <v>1662</v>
      </c>
      <c r="Z165" s="301">
        <v>22.021999999999998</v>
      </c>
      <c r="AA165" s="76" t="s">
        <v>1664</v>
      </c>
      <c r="AB165" s="76">
        <v>15.952</v>
      </c>
      <c r="AC165" s="61">
        <v>7.5</v>
      </c>
      <c r="AD165" s="474" t="s">
        <v>1665</v>
      </c>
      <c r="AE165" s="475">
        <v>13</v>
      </c>
      <c r="AF165" s="475">
        <v>0</v>
      </c>
      <c r="AG165" s="475">
        <v>13</v>
      </c>
      <c r="AH165" s="475">
        <v>0</v>
      </c>
      <c r="AI165" s="219">
        <v>1</v>
      </c>
      <c r="AJ165" s="474" t="s">
        <v>1666</v>
      </c>
      <c r="AK165" s="79">
        <v>1</v>
      </c>
      <c r="AL165" s="79" t="s">
        <v>1667</v>
      </c>
      <c r="AM165" s="301">
        <v>22.021999999999998</v>
      </c>
      <c r="AN165" s="76" t="s">
        <v>1664</v>
      </c>
      <c r="AO165" s="239" t="s">
        <v>761</v>
      </c>
      <c r="AP165" s="166">
        <v>59</v>
      </c>
      <c r="AQ165" s="167">
        <v>323</v>
      </c>
      <c r="AR165" s="168" t="s">
        <v>144</v>
      </c>
      <c r="AS165" s="169" t="s">
        <v>744</v>
      </c>
      <c r="AT165" s="155" t="s">
        <v>762</v>
      </c>
      <c r="AU165" s="156" t="s">
        <v>762</v>
      </c>
    </row>
    <row r="166" spans="1:47" ht="31.5" x14ac:dyDescent="0.2">
      <c r="A166" s="23" t="s">
        <v>763</v>
      </c>
      <c r="B166" s="24" t="s">
        <v>764</v>
      </c>
      <c r="C166" s="90">
        <f>9.485-0.377</f>
        <v>9.1079999999999988</v>
      </c>
      <c r="D166" s="422">
        <f t="shared" si="7"/>
        <v>9.1080000000000005</v>
      </c>
      <c r="E166" s="422">
        <f t="shared" si="8"/>
        <v>0</v>
      </c>
      <c r="F166" s="25" t="s">
        <v>731</v>
      </c>
      <c r="G166" s="26" t="s">
        <v>765</v>
      </c>
      <c r="H166" s="188"/>
      <c r="I166" s="326"/>
      <c r="J166" s="250">
        <v>6.5369999999999999</v>
      </c>
      <c r="K166" s="40" t="s">
        <v>766</v>
      </c>
      <c r="L166" s="57">
        <v>6.5369999999999999</v>
      </c>
      <c r="M166" s="30" t="s">
        <v>767</v>
      </c>
      <c r="N166" s="31">
        <v>18</v>
      </c>
      <c r="O166" s="31">
        <v>0</v>
      </c>
      <c r="P166" s="31">
        <v>18</v>
      </c>
      <c r="Q166" s="31">
        <v>0</v>
      </c>
      <c r="R166" s="30">
        <v>0</v>
      </c>
      <c r="S166" s="30">
        <v>0</v>
      </c>
      <c r="T166" s="30"/>
      <c r="U166" s="30"/>
      <c r="V166" s="263"/>
      <c r="W166" s="263"/>
      <c r="X166" s="263"/>
      <c r="Y166" s="264"/>
      <c r="Z166" s="397">
        <v>2.5709999999999997</v>
      </c>
      <c r="AA166" s="398" t="s">
        <v>768</v>
      </c>
      <c r="AB166" s="399">
        <v>1.371</v>
      </c>
      <c r="AC166" s="396">
        <v>1.2</v>
      </c>
      <c r="AD166" s="398" t="s">
        <v>1668</v>
      </c>
      <c r="AE166" s="400">
        <v>3</v>
      </c>
      <c r="AF166" s="400">
        <v>0</v>
      </c>
      <c r="AG166" s="400">
        <v>3</v>
      </c>
      <c r="AH166" s="400">
        <v>0</v>
      </c>
      <c r="AI166" s="396"/>
      <c r="AJ166" s="396"/>
      <c r="AK166" s="220"/>
      <c r="AL166" s="220"/>
      <c r="AM166" s="311"/>
      <c r="AN166" s="312"/>
      <c r="AO166" s="239"/>
      <c r="AP166" s="166">
        <v>0</v>
      </c>
      <c r="AQ166" s="167">
        <v>0</v>
      </c>
      <c r="AR166" s="171" t="s">
        <v>60</v>
      </c>
      <c r="AS166" s="172" t="s">
        <v>1</v>
      </c>
    </row>
    <row r="167" spans="1:47" ht="52.5" x14ac:dyDescent="0.2">
      <c r="A167" s="23" t="s">
        <v>769</v>
      </c>
      <c r="B167" s="24" t="s">
        <v>770</v>
      </c>
      <c r="C167" s="90">
        <f>23.125-0.346</f>
        <v>22.779</v>
      </c>
      <c r="D167" s="422">
        <f t="shared" si="7"/>
        <v>22.779</v>
      </c>
      <c r="E167" s="422">
        <f t="shared" si="8"/>
        <v>0</v>
      </c>
      <c r="F167" s="100" t="s">
        <v>627</v>
      </c>
      <c r="G167" s="38" t="s">
        <v>771</v>
      </c>
      <c r="H167" s="188"/>
      <c r="I167" s="326" t="s">
        <v>770</v>
      </c>
      <c r="J167" s="252">
        <v>22.779</v>
      </c>
      <c r="K167" s="29" t="s">
        <v>772</v>
      </c>
      <c r="L167" s="94">
        <v>2.2999999999999998</v>
      </c>
      <c r="M167" s="30" t="s">
        <v>773</v>
      </c>
      <c r="N167" s="30"/>
      <c r="O167" s="30"/>
      <c r="P167" s="30"/>
      <c r="Q167" s="30"/>
      <c r="R167" s="30">
        <v>11</v>
      </c>
      <c r="S167" s="30" t="s">
        <v>774</v>
      </c>
      <c r="T167" s="30"/>
      <c r="U167" s="30"/>
      <c r="V167" s="29">
        <v>22.779</v>
      </c>
      <c r="W167" s="29" t="s">
        <v>772</v>
      </c>
      <c r="X167" s="150"/>
      <c r="Y167" s="370" t="s">
        <v>772</v>
      </c>
      <c r="Z167" s="27"/>
      <c r="AA167" s="33"/>
      <c r="AB167" s="69"/>
      <c r="AC167" s="69"/>
      <c r="AD167" s="33"/>
      <c r="AE167" s="37"/>
      <c r="AF167" s="37"/>
      <c r="AG167" s="37"/>
      <c r="AH167" s="37"/>
      <c r="AI167" s="69"/>
      <c r="AJ167" s="69"/>
      <c r="AK167" s="69"/>
      <c r="AL167" s="69"/>
      <c r="AM167" s="52"/>
      <c r="AN167" s="304"/>
      <c r="AO167" s="239"/>
      <c r="AP167" s="176">
        <v>0</v>
      </c>
      <c r="AQ167" s="167">
        <v>0</v>
      </c>
      <c r="AR167" s="168" t="s">
        <v>60</v>
      </c>
      <c r="AS167" s="169" t="s">
        <v>51</v>
      </c>
      <c r="AT167" s="156"/>
    </row>
    <row r="168" spans="1:47" ht="52.5" x14ac:dyDescent="0.2">
      <c r="A168" s="23" t="s">
        <v>775</v>
      </c>
      <c r="B168" s="498" t="s">
        <v>778</v>
      </c>
      <c r="C168" s="499">
        <f>113.251-0.304</f>
        <v>112.947</v>
      </c>
      <c r="D168" s="497">
        <f t="shared" si="7"/>
        <v>112.947</v>
      </c>
      <c r="E168" s="497">
        <f t="shared" si="8"/>
        <v>0</v>
      </c>
      <c r="F168" s="25" t="s">
        <v>627</v>
      </c>
      <c r="G168" s="38" t="s">
        <v>776</v>
      </c>
      <c r="H168" s="188"/>
      <c r="I168" s="326" t="s">
        <v>777</v>
      </c>
      <c r="J168" s="250">
        <v>102.14700000000001</v>
      </c>
      <c r="K168" s="29" t="s">
        <v>778</v>
      </c>
      <c r="L168" s="94"/>
      <c r="M168" s="30"/>
      <c r="N168" s="30"/>
      <c r="O168" s="30"/>
      <c r="P168" s="30"/>
      <c r="Q168" s="30"/>
      <c r="R168" s="30">
        <v>56.5</v>
      </c>
      <c r="S168" s="30" t="s">
        <v>1759</v>
      </c>
      <c r="T168" s="30"/>
      <c r="U168" s="30"/>
      <c r="V168" s="250">
        <f>112.947</f>
        <v>112.947</v>
      </c>
      <c r="W168" s="29" t="s">
        <v>1793</v>
      </c>
      <c r="X168" s="149"/>
      <c r="Y168" s="370" t="s">
        <v>778</v>
      </c>
      <c r="Z168" s="71">
        <v>10.8</v>
      </c>
      <c r="AA168" s="76" t="s">
        <v>779</v>
      </c>
      <c r="AB168" s="79">
        <v>0</v>
      </c>
      <c r="AC168" s="79"/>
      <c r="AD168" s="76"/>
      <c r="AE168" s="78"/>
      <c r="AF168" s="78"/>
      <c r="AG168" s="78"/>
      <c r="AH168" s="78"/>
      <c r="AI168" s="79">
        <v>10.8</v>
      </c>
      <c r="AJ168" s="79" t="s">
        <v>779</v>
      </c>
      <c r="AK168" s="79"/>
      <c r="AL168" s="79"/>
      <c r="AM168" s="52">
        <v>10.8</v>
      </c>
      <c r="AN168" s="304" t="s">
        <v>779</v>
      </c>
      <c r="AO168" s="239"/>
      <c r="AP168" s="166">
        <v>0</v>
      </c>
      <c r="AQ168" s="167">
        <v>641</v>
      </c>
      <c r="AR168" s="171" t="s">
        <v>1</v>
      </c>
      <c r="AS168" s="172" t="s">
        <v>780</v>
      </c>
      <c r="AT168" s="156"/>
    </row>
    <row r="169" spans="1:47" ht="42" x14ac:dyDescent="0.2">
      <c r="A169" s="23" t="s">
        <v>781</v>
      </c>
      <c r="B169" s="24" t="s">
        <v>782</v>
      </c>
      <c r="C169" s="90">
        <f>4.231-0.878</f>
        <v>3.3529999999999998</v>
      </c>
      <c r="D169" s="422">
        <f t="shared" si="7"/>
        <v>3.3529999999999998</v>
      </c>
      <c r="E169" s="422">
        <f t="shared" si="8"/>
        <v>0</v>
      </c>
      <c r="F169" s="25" t="s">
        <v>68</v>
      </c>
      <c r="G169" s="26" t="s">
        <v>783</v>
      </c>
      <c r="H169" s="188"/>
      <c r="I169" s="327" t="s">
        <v>782</v>
      </c>
      <c r="J169" s="250">
        <v>3.3529999999999998</v>
      </c>
      <c r="K169" s="29" t="s">
        <v>784</v>
      </c>
      <c r="L169" s="30">
        <v>2</v>
      </c>
      <c r="M169" s="30" t="s">
        <v>785</v>
      </c>
      <c r="N169" s="30">
        <v>3</v>
      </c>
      <c r="O169" s="30">
        <v>0</v>
      </c>
      <c r="P169" s="30">
        <v>0</v>
      </c>
      <c r="Q169" s="30">
        <v>0</v>
      </c>
      <c r="R169" s="30"/>
      <c r="S169" s="30"/>
      <c r="T169" s="30"/>
      <c r="U169" s="30"/>
      <c r="V169" s="263"/>
      <c r="W169" s="263"/>
      <c r="X169" s="263"/>
      <c r="Y169" s="264"/>
      <c r="Z169" s="382"/>
      <c r="AA169" s="383"/>
      <c r="AB169" s="383"/>
      <c r="AC169" s="384"/>
      <c r="AD169" s="383"/>
      <c r="AE169" s="385"/>
      <c r="AF169" s="385"/>
      <c r="AG169" s="385"/>
      <c r="AH169" s="385"/>
      <c r="AI169" s="384"/>
      <c r="AJ169" s="384"/>
      <c r="AK169" s="214"/>
      <c r="AL169" s="214"/>
      <c r="AM169" s="311"/>
      <c r="AN169" s="312"/>
      <c r="AO169" s="239"/>
      <c r="AP169" s="166">
        <v>3</v>
      </c>
      <c r="AQ169" s="167">
        <v>20</v>
      </c>
      <c r="AR169" s="171" t="s">
        <v>1</v>
      </c>
      <c r="AS169" s="172" t="s">
        <v>1</v>
      </c>
    </row>
    <row r="170" spans="1:47" ht="31.5" x14ac:dyDescent="0.2">
      <c r="A170" s="23" t="s">
        <v>786</v>
      </c>
      <c r="B170" s="24" t="s">
        <v>787</v>
      </c>
      <c r="C170" s="90">
        <f>3.619-0.864</f>
        <v>2.7550000000000003</v>
      </c>
      <c r="D170" s="422">
        <f t="shared" si="7"/>
        <v>2.7550000000000003</v>
      </c>
      <c r="E170" s="422">
        <f t="shared" si="8"/>
        <v>0</v>
      </c>
      <c r="F170" s="25" t="s">
        <v>627</v>
      </c>
      <c r="G170" s="26" t="s">
        <v>788</v>
      </c>
      <c r="H170" s="188"/>
      <c r="I170" s="326" t="s">
        <v>787</v>
      </c>
      <c r="J170" s="252">
        <v>2.7550000000000003</v>
      </c>
      <c r="K170" s="29" t="s">
        <v>789</v>
      </c>
      <c r="L170" s="94"/>
      <c r="M170" s="30"/>
      <c r="N170" s="30"/>
      <c r="O170" s="30"/>
      <c r="P170" s="30"/>
      <c r="Q170" s="30"/>
      <c r="R170" s="30">
        <v>1.4</v>
      </c>
      <c r="S170" s="30" t="s">
        <v>789</v>
      </c>
      <c r="T170" s="30"/>
      <c r="U170" s="30"/>
      <c r="V170" s="263"/>
      <c r="W170" s="263"/>
      <c r="X170" s="263"/>
      <c r="Y170" s="263"/>
      <c r="Z170" s="27"/>
      <c r="AA170" s="33"/>
      <c r="AB170" s="69"/>
      <c r="AC170" s="69"/>
      <c r="AD170" s="33"/>
      <c r="AE170" s="37"/>
      <c r="AF170" s="37"/>
      <c r="AG170" s="37"/>
      <c r="AH170" s="37"/>
      <c r="AI170" s="69"/>
      <c r="AJ170" s="69"/>
      <c r="AK170" s="69"/>
      <c r="AL170" s="69"/>
      <c r="AM170" s="311"/>
      <c r="AN170" s="312"/>
      <c r="AO170" s="239"/>
      <c r="AP170" s="166">
        <v>0</v>
      </c>
      <c r="AQ170" s="167">
        <v>0</v>
      </c>
      <c r="AR170" s="171" t="s">
        <v>60</v>
      </c>
      <c r="AS170" s="169" t="s">
        <v>51</v>
      </c>
      <c r="AT170" s="156"/>
    </row>
    <row r="171" spans="1:47" ht="31.5" x14ac:dyDescent="0.2">
      <c r="A171" s="23" t="s">
        <v>790</v>
      </c>
      <c r="B171" s="24" t="s">
        <v>1794</v>
      </c>
      <c r="C171" s="90">
        <f>15.609-0.454</f>
        <v>15.154999999999999</v>
      </c>
      <c r="D171" s="422">
        <f t="shared" si="7"/>
        <v>15.154999999999999</v>
      </c>
      <c r="E171" s="422">
        <f t="shared" si="8"/>
        <v>0</v>
      </c>
      <c r="F171" s="25" t="s">
        <v>627</v>
      </c>
      <c r="G171" s="26" t="s">
        <v>791</v>
      </c>
      <c r="H171" s="188"/>
      <c r="I171" s="326"/>
      <c r="J171" s="252">
        <v>15.154999999999999</v>
      </c>
      <c r="K171" s="29" t="s">
        <v>792</v>
      </c>
      <c r="L171" s="94"/>
      <c r="M171" s="30"/>
      <c r="N171" s="30"/>
      <c r="O171" s="30"/>
      <c r="P171" s="30"/>
      <c r="Q171" s="30"/>
      <c r="R171" s="30">
        <v>7.6</v>
      </c>
      <c r="S171" s="30" t="s">
        <v>793</v>
      </c>
      <c r="T171" s="30"/>
      <c r="U171" s="30"/>
      <c r="V171" s="263"/>
      <c r="W171" s="263"/>
      <c r="X171" s="263"/>
      <c r="Y171" s="263"/>
      <c r="Z171" s="27"/>
      <c r="AA171" s="33"/>
      <c r="AB171" s="69"/>
      <c r="AC171" s="69"/>
      <c r="AD171" s="33"/>
      <c r="AE171" s="37"/>
      <c r="AF171" s="37"/>
      <c r="AG171" s="37"/>
      <c r="AH171" s="37"/>
      <c r="AI171" s="69"/>
      <c r="AJ171" s="69"/>
      <c r="AK171" s="69"/>
      <c r="AL171" s="69"/>
      <c r="AM171" s="311"/>
      <c r="AN171" s="312"/>
      <c r="AO171" s="239"/>
      <c r="AP171" s="166">
        <v>0</v>
      </c>
      <c r="AQ171" s="167">
        <v>0</v>
      </c>
      <c r="AR171" s="171" t="s">
        <v>60</v>
      </c>
      <c r="AS171" s="169" t="s">
        <v>51</v>
      </c>
      <c r="AT171" s="156"/>
    </row>
    <row r="172" spans="1:47" ht="42" x14ac:dyDescent="0.2">
      <c r="A172" s="23" t="s">
        <v>794</v>
      </c>
      <c r="B172" s="24" t="s">
        <v>1795</v>
      </c>
      <c r="C172" s="90">
        <f>19.694-0.465</f>
        <v>19.228999999999999</v>
      </c>
      <c r="D172" s="422">
        <f t="shared" si="7"/>
        <v>19.228999999999999</v>
      </c>
      <c r="E172" s="422">
        <f t="shared" si="8"/>
        <v>0</v>
      </c>
      <c r="F172" s="25" t="s">
        <v>627</v>
      </c>
      <c r="G172" s="26" t="s">
        <v>795</v>
      </c>
      <c r="H172" s="188"/>
      <c r="I172" s="326"/>
      <c r="J172" s="252">
        <v>19.228999999999999</v>
      </c>
      <c r="K172" s="29" t="s">
        <v>796</v>
      </c>
      <c r="L172" s="94"/>
      <c r="M172" s="30"/>
      <c r="N172" s="30"/>
      <c r="O172" s="30"/>
      <c r="P172" s="30"/>
      <c r="Q172" s="30"/>
      <c r="R172" s="30">
        <v>9.6</v>
      </c>
      <c r="S172" s="30" t="s">
        <v>797</v>
      </c>
      <c r="T172" s="30"/>
      <c r="U172" s="30"/>
      <c r="V172" s="263"/>
      <c r="W172" s="263"/>
      <c r="X172" s="263"/>
      <c r="Y172" s="263"/>
      <c r="Z172" s="526"/>
      <c r="AA172" s="406"/>
      <c r="AB172" s="405"/>
      <c r="AC172" s="405"/>
      <c r="AD172" s="406"/>
      <c r="AE172" s="407"/>
      <c r="AF172" s="407"/>
      <c r="AG172" s="407"/>
      <c r="AH172" s="407"/>
      <c r="AI172" s="405"/>
      <c r="AJ172" s="405"/>
      <c r="AK172" s="405"/>
      <c r="AL172" s="405"/>
      <c r="AM172" s="311"/>
      <c r="AN172" s="312"/>
      <c r="AO172" s="239"/>
      <c r="AP172" s="166">
        <v>0</v>
      </c>
      <c r="AQ172" s="167">
        <v>0</v>
      </c>
      <c r="AR172" s="171" t="s">
        <v>60</v>
      </c>
      <c r="AS172" s="169" t="s">
        <v>51</v>
      </c>
      <c r="AT172" s="156"/>
    </row>
    <row r="173" spans="1:47" ht="42" x14ac:dyDescent="0.2">
      <c r="A173" s="23" t="s">
        <v>798</v>
      </c>
      <c r="B173" s="24" t="s">
        <v>799</v>
      </c>
      <c r="C173" s="90">
        <f>94.245-70.734</f>
        <v>23.51100000000001</v>
      </c>
      <c r="D173" s="422">
        <f t="shared" si="7"/>
        <v>23.511000000000003</v>
      </c>
      <c r="E173" s="422">
        <f t="shared" si="8"/>
        <v>0</v>
      </c>
      <c r="F173" s="25" t="s">
        <v>800</v>
      </c>
      <c r="G173" s="26" t="s">
        <v>801</v>
      </c>
      <c r="H173" s="188"/>
      <c r="I173" s="326"/>
      <c r="J173" s="252">
        <v>10.345000000000001</v>
      </c>
      <c r="K173" s="29" t="s">
        <v>802</v>
      </c>
      <c r="L173" s="29"/>
      <c r="M173" s="29"/>
      <c r="N173" s="68"/>
      <c r="O173" s="68"/>
      <c r="P173" s="68"/>
      <c r="Q173" s="68"/>
      <c r="R173" s="29">
        <v>5.15</v>
      </c>
      <c r="S173" s="29" t="s">
        <v>802</v>
      </c>
      <c r="T173" s="208"/>
      <c r="U173" s="208"/>
      <c r="V173" s="263"/>
      <c r="W173" s="263"/>
      <c r="X173" s="263"/>
      <c r="Y173" s="263"/>
      <c r="Z173" s="59">
        <v>13.166</v>
      </c>
      <c r="AA173" s="102" t="s">
        <v>803</v>
      </c>
      <c r="AB173" s="59"/>
      <c r="AC173" s="104">
        <v>0</v>
      </c>
      <c r="AD173" s="102">
        <v>0</v>
      </c>
      <c r="AE173" s="103">
        <v>0</v>
      </c>
      <c r="AF173" s="103">
        <v>0</v>
      </c>
      <c r="AG173" s="103">
        <v>0</v>
      </c>
      <c r="AH173" s="103">
        <v>0</v>
      </c>
      <c r="AI173" s="104">
        <v>10.1</v>
      </c>
      <c r="AJ173" s="102" t="s">
        <v>1727</v>
      </c>
      <c r="AK173" s="104"/>
      <c r="AL173" s="104"/>
      <c r="AM173" s="59">
        <v>13.166</v>
      </c>
      <c r="AN173" s="102" t="s">
        <v>803</v>
      </c>
      <c r="AO173" s="239"/>
      <c r="AP173" s="166">
        <v>25</v>
      </c>
      <c r="AQ173" s="167">
        <v>144</v>
      </c>
      <c r="AR173" s="168" t="s">
        <v>144</v>
      </c>
      <c r="AS173" s="169" t="s">
        <v>804</v>
      </c>
      <c r="AT173" s="156"/>
    </row>
    <row r="174" spans="1:47" ht="31.5" x14ac:dyDescent="0.2">
      <c r="A174" s="23" t="s">
        <v>805</v>
      </c>
      <c r="B174" s="24" t="s">
        <v>806</v>
      </c>
      <c r="C174" s="90">
        <f>16.636-0.211</f>
        <v>16.425000000000001</v>
      </c>
      <c r="D174" s="422">
        <f t="shared" si="7"/>
        <v>16.425000000000001</v>
      </c>
      <c r="E174" s="422">
        <f t="shared" si="8"/>
        <v>0</v>
      </c>
      <c r="F174" s="25" t="s">
        <v>627</v>
      </c>
      <c r="G174" s="26" t="s">
        <v>807</v>
      </c>
      <c r="H174" s="188"/>
      <c r="I174" s="326"/>
      <c r="J174" s="252">
        <v>16.425000000000001</v>
      </c>
      <c r="K174" s="29" t="s">
        <v>808</v>
      </c>
      <c r="L174" s="94"/>
      <c r="M174" s="30"/>
      <c r="N174" s="31"/>
      <c r="O174" s="31"/>
      <c r="P174" s="31"/>
      <c r="Q174" s="31"/>
      <c r="R174" s="94">
        <v>8.1999999999999993</v>
      </c>
      <c r="S174" s="30" t="s">
        <v>808</v>
      </c>
      <c r="T174" s="212"/>
      <c r="U174" s="212"/>
      <c r="V174" s="263"/>
      <c r="W174" s="263"/>
      <c r="X174" s="263"/>
      <c r="Y174" s="263"/>
      <c r="Z174" s="27"/>
      <c r="AA174" s="33"/>
      <c r="AB174" s="69"/>
      <c r="AC174" s="69"/>
      <c r="AD174" s="33"/>
      <c r="AE174" s="37"/>
      <c r="AF174" s="37"/>
      <c r="AG174" s="37"/>
      <c r="AH174" s="37"/>
      <c r="AI174" s="69"/>
      <c r="AJ174" s="69"/>
      <c r="AK174" s="69"/>
      <c r="AL174" s="69"/>
      <c r="AM174" s="311"/>
      <c r="AN174" s="312"/>
      <c r="AO174" s="239"/>
      <c r="AP174" s="166">
        <v>0</v>
      </c>
      <c r="AQ174" s="167">
        <v>0</v>
      </c>
      <c r="AR174" s="168" t="s">
        <v>60</v>
      </c>
      <c r="AS174" s="169" t="s">
        <v>51</v>
      </c>
      <c r="AT174" s="156"/>
    </row>
    <row r="175" spans="1:47" ht="42" x14ac:dyDescent="0.2">
      <c r="A175" s="23" t="s">
        <v>809</v>
      </c>
      <c r="B175" s="24" t="s">
        <v>810</v>
      </c>
      <c r="C175" s="90">
        <f>11.447-1.892</f>
        <v>9.5549999999999997</v>
      </c>
      <c r="D175" s="422">
        <f t="shared" si="7"/>
        <v>9.5549999999999997</v>
      </c>
      <c r="E175" s="422">
        <f t="shared" si="8"/>
        <v>0</v>
      </c>
      <c r="F175" s="25" t="s">
        <v>811</v>
      </c>
      <c r="G175" s="26" t="s">
        <v>812</v>
      </c>
      <c r="H175" s="188"/>
      <c r="I175" s="326"/>
      <c r="J175" s="257"/>
      <c r="K175" s="210"/>
      <c r="L175" s="210"/>
      <c r="M175" s="210"/>
      <c r="N175" s="259"/>
      <c r="O175" s="259"/>
      <c r="P175" s="259"/>
      <c r="Q175" s="259"/>
      <c r="R175" s="210"/>
      <c r="S175" s="210"/>
      <c r="T175" s="210"/>
      <c r="U175" s="210"/>
      <c r="V175" s="558"/>
      <c r="W175" s="263"/>
      <c r="X175" s="263"/>
      <c r="Y175" s="264"/>
      <c r="Z175" s="386">
        <v>9.5549999999999997</v>
      </c>
      <c r="AA175" s="387" t="s">
        <v>813</v>
      </c>
      <c r="AB175" s="387"/>
      <c r="AC175" s="467">
        <v>0</v>
      </c>
      <c r="AD175" s="387">
        <v>0</v>
      </c>
      <c r="AE175" s="466">
        <v>0</v>
      </c>
      <c r="AF175" s="466">
        <v>0</v>
      </c>
      <c r="AG175" s="466">
        <v>0</v>
      </c>
      <c r="AH175" s="466">
        <v>0</v>
      </c>
      <c r="AI175" s="467">
        <v>0</v>
      </c>
      <c r="AJ175" s="467"/>
      <c r="AK175" s="223"/>
      <c r="AL175" s="223"/>
      <c r="AM175" s="386">
        <v>9.5549999999999997</v>
      </c>
      <c r="AN175" s="387" t="s">
        <v>813</v>
      </c>
      <c r="AO175" s="239"/>
      <c r="AP175" s="166">
        <v>18</v>
      </c>
      <c r="AQ175" s="167">
        <v>59</v>
      </c>
      <c r="AR175" s="168" t="s">
        <v>144</v>
      </c>
      <c r="AS175" s="169" t="s">
        <v>1</v>
      </c>
      <c r="AT175" s="156"/>
    </row>
    <row r="176" spans="1:47" ht="42" x14ac:dyDescent="0.2">
      <c r="A176" s="23" t="s">
        <v>814</v>
      </c>
      <c r="B176" s="24" t="s">
        <v>815</v>
      </c>
      <c r="C176" s="90">
        <f>116.227-102.062</f>
        <v>14.165000000000006</v>
      </c>
      <c r="D176" s="422">
        <f t="shared" si="7"/>
        <v>14.165000000000006</v>
      </c>
      <c r="E176" s="422">
        <f t="shared" si="8"/>
        <v>0</v>
      </c>
      <c r="F176" s="25" t="s">
        <v>811</v>
      </c>
      <c r="G176" s="26" t="s">
        <v>816</v>
      </c>
      <c r="H176" s="188"/>
      <c r="I176" s="327" t="s">
        <v>815</v>
      </c>
      <c r="J176" s="250">
        <v>14.165000000000006</v>
      </c>
      <c r="K176" s="29" t="s">
        <v>817</v>
      </c>
      <c r="L176" s="30"/>
      <c r="M176" s="30"/>
      <c r="N176" s="31"/>
      <c r="O176" s="31"/>
      <c r="P176" s="31"/>
      <c r="Q176" s="489"/>
      <c r="R176" s="28">
        <v>7</v>
      </c>
      <c r="S176" s="484" t="s">
        <v>817</v>
      </c>
      <c r="T176" s="28">
        <v>7</v>
      </c>
      <c r="U176" s="484" t="s">
        <v>817</v>
      </c>
      <c r="V176" s="28">
        <v>14.165000000000006</v>
      </c>
      <c r="W176" s="29" t="s">
        <v>817</v>
      </c>
      <c r="X176" s="263"/>
      <c r="Y176" s="264"/>
      <c r="Z176" s="299"/>
      <c r="AA176" s="32"/>
      <c r="AB176" s="32"/>
      <c r="AC176" s="35"/>
      <c r="AD176" s="32"/>
      <c r="AE176" s="34"/>
      <c r="AF176" s="34"/>
      <c r="AG176" s="34"/>
      <c r="AH176" s="34"/>
      <c r="AI176" s="35"/>
      <c r="AJ176" s="35"/>
      <c r="AK176" s="214"/>
      <c r="AL176" s="214"/>
      <c r="AM176" s="202"/>
      <c r="AN176" s="312"/>
      <c r="AO176" s="239"/>
      <c r="AP176" s="166">
        <v>0</v>
      </c>
      <c r="AQ176" s="167">
        <v>69</v>
      </c>
      <c r="AR176" s="168" t="s">
        <v>1</v>
      </c>
      <c r="AS176" s="169" t="s">
        <v>1</v>
      </c>
      <c r="AT176" s="156"/>
    </row>
    <row r="177" spans="1:46" ht="42" x14ac:dyDescent="0.2">
      <c r="A177" s="23" t="s">
        <v>818</v>
      </c>
      <c r="B177" s="24" t="s">
        <v>819</v>
      </c>
      <c r="C177" s="90">
        <f>70.734-0.401</f>
        <v>70.332999999999998</v>
      </c>
      <c r="D177" s="422">
        <f t="shared" si="7"/>
        <v>70.332999999999998</v>
      </c>
      <c r="E177" s="422">
        <f t="shared" si="8"/>
        <v>0</v>
      </c>
      <c r="F177" s="25" t="s">
        <v>811</v>
      </c>
      <c r="G177" s="26" t="s">
        <v>820</v>
      </c>
      <c r="H177" s="188"/>
      <c r="I177" s="326" t="s">
        <v>821</v>
      </c>
      <c r="J177" s="250">
        <v>70.332999999999998</v>
      </c>
      <c r="K177" s="105" t="s">
        <v>819</v>
      </c>
      <c r="L177" s="106"/>
      <c r="M177" s="106"/>
      <c r="N177" s="107"/>
      <c r="O177" s="107"/>
      <c r="P177" s="107"/>
      <c r="Q177" s="544"/>
      <c r="R177" s="105">
        <v>35</v>
      </c>
      <c r="S177" s="539" t="s">
        <v>819</v>
      </c>
      <c r="T177" s="105">
        <v>35</v>
      </c>
      <c r="U177" s="539" t="s">
        <v>819</v>
      </c>
      <c r="V177" s="105">
        <v>70.3</v>
      </c>
      <c r="W177" s="106" t="s">
        <v>819</v>
      </c>
      <c r="X177" s="263"/>
      <c r="Y177" s="264"/>
      <c r="Z177" s="299"/>
      <c r="AA177" s="32"/>
      <c r="AB177" s="32"/>
      <c r="AC177" s="35"/>
      <c r="AD177" s="32"/>
      <c r="AE177" s="34"/>
      <c r="AF177" s="34"/>
      <c r="AG177" s="34"/>
      <c r="AH177" s="34"/>
      <c r="AI177" s="35"/>
      <c r="AJ177" s="35"/>
      <c r="AK177" s="214"/>
      <c r="AL177" s="214"/>
      <c r="AM177" s="202"/>
      <c r="AN177" s="312"/>
      <c r="AO177" s="239"/>
      <c r="AP177" s="166">
        <v>0</v>
      </c>
      <c r="AQ177" s="167">
        <v>416</v>
      </c>
      <c r="AR177" s="168" t="s">
        <v>1</v>
      </c>
      <c r="AS177" s="169" t="s">
        <v>1</v>
      </c>
      <c r="AT177" s="156"/>
    </row>
    <row r="178" spans="1:46" ht="42" x14ac:dyDescent="0.2">
      <c r="A178" s="23" t="s">
        <v>822</v>
      </c>
      <c r="B178" s="24" t="s">
        <v>823</v>
      </c>
      <c r="C178" s="90">
        <f>51.5-0.386</f>
        <v>51.113999999999997</v>
      </c>
      <c r="D178" s="422">
        <f t="shared" si="7"/>
        <v>51.113999999999997</v>
      </c>
      <c r="E178" s="422">
        <f t="shared" si="8"/>
        <v>0</v>
      </c>
      <c r="F178" s="25" t="s">
        <v>811</v>
      </c>
      <c r="G178" s="26" t="s">
        <v>824</v>
      </c>
      <c r="H178" s="188"/>
      <c r="I178" s="326"/>
      <c r="J178" s="250">
        <v>34.613999999999997</v>
      </c>
      <c r="K178" s="29" t="s">
        <v>825</v>
      </c>
      <c r="L178" s="30"/>
      <c r="M178" s="30"/>
      <c r="N178" s="31"/>
      <c r="O178" s="31"/>
      <c r="P178" s="31"/>
      <c r="Q178" s="489"/>
      <c r="R178" s="28">
        <v>17</v>
      </c>
      <c r="S178" s="484" t="s">
        <v>825</v>
      </c>
      <c r="T178" s="28">
        <v>17</v>
      </c>
      <c r="U178" s="484" t="s">
        <v>825</v>
      </c>
      <c r="V178" s="28">
        <v>34.613999999999997</v>
      </c>
      <c r="W178" s="29" t="s">
        <v>825</v>
      </c>
      <c r="X178" s="263"/>
      <c r="Y178" s="264"/>
      <c r="Z178" s="301">
        <v>16.5</v>
      </c>
      <c r="AA178" s="53" t="s">
        <v>826</v>
      </c>
      <c r="AB178" s="53">
        <v>0</v>
      </c>
      <c r="AC178" s="56">
        <v>17</v>
      </c>
      <c r="AD178" s="53" t="s">
        <v>1728</v>
      </c>
      <c r="AE178" s="55">
        <v>24</v>
      </c>
      <c r="AF178" s="55">
        <v>4</v>
      </c>
      <c r="AG178" s="55">
        <v>16</v>
      </c>
      <c r="AH178" s="55">
        <v>0</v>
      </c>
      <c r="AI178" s="104">
        <v>0</v>
      </c>
      <c r="AJ178" s="61"/>
      <c r="AK178" s="56">
        <v>17</v>
      </c>
      <c r="AL178" s="53" t="s">
        <v>1728</v>
      </c>
      <c r="AM178" s="301">
        <v>16.5</v>
      </c>
      <c r="AN178" s="53" t="s">
        <v>826</v>
      </c>
      <c r="AO178" s="239"/>
      <c r="AP178" s="166">
        <v>24</v>
      </c>
      <c r="AQ178" s="167">
        <v>317</v>
      </c>
      <c r="AR178" s="168" t="s">
        <v>144</v>
      </c>
      <c r="AS178" s="169" t="s">
        <v>744</v>
      </c>
      <c r="AT178" s="156"/>
    </row>
    <row r="179" spans="1:46" ht="21" x14ac:dyDescent="0.2">
      <c r="A179" s="23" t="s">
        <v>827</v>
      </c>
      <c r="B179" s="24" t="s">
        <v>828</v>
      </c>
      <c r="C179" s="90">
        <f>0.737-0.105</f>
        <v>0.63200000000000001</v>
      </c>
      <c r="D179" s="422">
        <f t="shared" si="7"/>
        <v>0.63200000000000001</v>
      </c>
      <c r="E179" s="422">
        <f t="shared" si="8"/>
        <v>0</v>
      </c>
      <c r="F179" s="25" t="s">
        <v>811</v>
      </c>
      <c r="G179" s="26" t="s">
        <v>829</v>
      </c>
      <c r="H179" s="188"/>
      <c r="I179" s="327"/>
      <c r="J179" s="250">
        <v>0.63200000000000001</v>
      </c>
      <c r="K179" s="29" t="s">
        <v>830</v>
      </c>
      <c r="L179" s="30"/>
      <c r="M179" s="30"/>
      <c r="N179" s="31"/>
      <c r="O179" s="31"/>
      <c r="P179" s="31"/>
      <c r="Q179" s="489"/>
      <c r="R179" s="28">
        <v>0.63200000000000001</v>
      </c>
      <c r="S179" s="484" t="s">
        <v>830</v>
      </c>
      <c r="T179" s="28">
        <v>0.63200000000000001</v>
      </c>
      <c r="U179" s="484" t="s">
        <v>830</v>
      </c>
      <c r="V179" s="28">
        <v>0.63200000000000001</v>
      </c>
      <c r="W179" s="29" t="s">
        <v>830</v>
      </c>
      <c r="X179" s="263"/>
      <c r="Y179" s="264"/>
      <c r="Z179" s="306"/>
      <c r="AA179" s="65"/>
      <c r="AB179" s="65"/>
      <c r="AC179" s="67"/>
      <c r="AD179" s="65"/>
      <c r="AE179" s="66"/>
      <c r="AF179" s="66"/>
      <c r="AG179" s="66"/>
      <c r="AH179" s="66"/>
      <c r="AI179" s="67"/>
      <c r="AJ179" s="67"/>
      <c r="AK179" s="217"/>
      <c r="AL179" s="217"/>
      <c r="AM179" s="202"/>
      <c r="AN179" s="312"/>
      <c r="AO179" s="239"/>
      <c r="AP179" s="166">
        <v>0</v>
      </c>
      <c r="AQ179" s="167">
        <v>12</v>
      </c>
      <c r="AR179" s="168" t="s">
        <v>1</v>
      </c>
      <c r="AS179" s="169" t="s">
        <v>1</v>
      </c>
      <c r="AT179" s="156"/>
    </row>
    <row r="180" spans="1:46" ht="42" x14ac:dyDescent="0.2">
      <c r="A180" s="23" t="s">
        <v>831</v>
      </c>
      <c r="B180" s="24" t="s">
        <v>832</v>
      </c>
      <c r="C180" s="90">
        <f>25.903-0.471</f>
        <v>25.431999999999999</v>
      </c>
      <c r="D180" s="422">
        <f t="shared" si="7"/>
        <v>25.431999999999999</v>
      </c>
      <c r="E180" s="422">
        <f t="shared" si="8"/>
        <v>0</v>
      </c>
      <c r="F180" s="25" t="s">
        <v>811</v>
      </c>
      <c r="G180" s="26" t="s">
        <v>833</v>
      </c>
      <c r="H180" s="188"/>
      <c r="I180" s="326"/>
      <c r="J180" s="257"/>
      <c r="K180" s="36"/>
      <c r="L180" s="36"/>
      <c r="M180" s="36"/>
      <c r="N180" s="37"/>
      <c r="O180" s="37"/>
      <c r="P180" s="37"/>
      <c r="Q180" s="34"/>
      <c r="R180" s="36"/>
      <c r="S180" s="540"/>
      <c r="T180" s="548"/>
      <c r="U180" s="210"/>
      <c r="V180" s="558"/>
      <c r="W180" s="263"/>
      <c r="X180" s="263"/>
      <c r="Y180" s="264"/>
      <c r="Z180" s="302">
        <v>25.431999999999999</v>
      </c>
      <c r="AA180" s="102" t="s">
        <v>834</v>
      </c>
      <c r="AB180" s="102"/>
      <c r="AC180" s="104">
        <v>0</v>
      </c>
      <c r="AD180" s="102">
        <v>0</v>
      </c>
      <c r="AE180" s="103"/>
      <c r="AF180" s="103"/>
      <c r="AG180" s="103"/>
      <c r="AH180" s="103"/>
      <c r="AI180" s="104">
        <v>17.600000000000001</v>
      </c>
      <c r="AJ180" s="102" t="s">
        <v>1729</v>
      </c>
      <c r="AK180" s="104">
        <v>5.5</v>
      </c>
      <c r="AL180" s="102" t="s">
        <v>1730</v>
      </c>
      <c r="AM180" s="302">
        <v>25.431999999999999</v>
      </c>
      <c r="AN180" s="102" t="s">
        <v>834</v>
      </c>
      <c r="AO180" s="239"/>
      <c r="AP180" s="166">
        <v>36</v>
      </c>
      <c r="AQ180" s="167">
        <v>167</v>
      </c>
      <c r="AR180" s="168" t="s">
        <v>144</v>
      </c>
      <c r="AS180" s="169" t="s">
        <v>1</v>
      </c>
      <c r="AT180" s="156"/>
    </row>
    <row r="181" spans="1:46" ht="52.5" x14ac:dyDescent="0.2">
      <c r="A181" s="23" t="s">
        <v>835</v>
      </c>
      <c r="B181" s="24" t="s">
        <v>836</v>
      </c>
      <c r="C181" s="90">
        <f>5.387-0.187</f>
        <v>5.1999999999999993</v>
      </c>
      <c r="D181" s="422">
        <f t="shared" si="7"/>
        <v>5.1999999999999993</v>
      </c>
      <c r="E181" s="422">
        <f t="shared" si="8"/>
        <v>0</v>
      </c>
      <c r="F181" s="25" t="s">
        <v>811</v>
      </c>
      <c r="G181" s="26" t="s">
        <v>837</v>
      </c>
      <c r="H181" s="188"/>
      <c r="I181" s="326"/>
      <c r="J181" s="257"/>
      <c r="K181" s="210"/>
      <c r="L181" s="210"/>
      <c r="M181" s="210"/>
      <c r="N181" s="259"/>
      <c r="O181" s="259"/>
      <c r="P181" s="259"/>
      <c r="Q181" s="259"/>
      <c r="R181" s="548"/>
      <c r="S181" s="210"/>
      <c r="T181" s="548"/>
      <c r="U181" s="210"/>
      <c r="V181" s="558"/>
      <c r="W181" s="263"/>
      <c r="X181" s="263"/>
      <c r="Y181" s="264"/>
      <c r="Z181" s="302">
        <v>5.1999999999999993</v>
      </c>
      <c r="AA181" s="102" t="s">
        <v>838</v>
      </c>
      <c r="AB181" s="302">
        <v>5.1999999999999993</v>
      </c>
      <c r="AC181" s="104"/>
      <c r="AD181" s="102">
        <v>0</v>
      </c>
      <c r="AE181" s="103"/>
      <c r="AF181" s="103"/>
      <c r="AG181" s="103"/>
      <c r="AH181" s="103"/>
      <c r="AI181" s="104">
        <v>0</v>
      </c>
      <c r="AJ181" s="104"/>
      <c r="AK181" s="223"/>
      <c r="AL181" s="223"/>
      <c r="AM181" s="302">
        <v>5.1999999999999993</v>
      </c>
      <c r="AN181" s="102" t="s">
        <v>838</v>
      </c>
      <c r="AO181" s="239"/>
      <c r="AP181" s="166">
        <v>0</v>
      </c>
      <c r="AQ181" s="167">
        <v>22</v>
      </c>
      <c r="AR181" s="168" t="s">
        <v>1</v>
      </c>
      <c r="AS181" s="169" t="s">
        <v>1</v>
      </c>
      <c r="AT181" s="156"/>
    </row>
    <row r="182" spans="1:46" ht="31.5" x14ac:dyDescent="0.2">
      <c r="A182" s="23" t="s">
        <v>839</v>
      </c>
      <c r="B182" s="24" t="s">
        <v>840</v>
      </c>
      <c r="C182" s="90">
        <f>4.574-0.09</f>
        <v>4.484</v>
      </c>
      <c r="D182" s="422">
        <f t="shared" si="7"/>
        <v>4.484</v>
      </c>
      <c r="E182" s="422">
        <f t="shared" si="8"/>
        <v>0</v>
      </c>
      <c r="F182" s="25" t="s">
        <v>811</v>
      </c>
      <c r="G182" s="26" t="s">
        <v>841</v>
      </c>
      <c r="H182" s="188"/>
      <c r="I182" s="326"/>
      <c r="J182" s="257"/>
      <c r="K182" s="27"/>
      <c r="L182" s="80"/>
      <c r="M182" s="80"/>
      <c r="N182" s="81"/>
      <c r="O182" s="81"/>
      <c r="P182" s="81"/>
      <c r="Q182" s="552"/>
      <c r="R182" s="27"/>
      <c r="S182" s="541"/>
      <c r="T182" s="549"/>
      <c r="U182" s="211"/>
      <c r="V182" s="558"/>
      <c r="W182" s="263"/>
      <c r="X182" s="263"/>
      <c r="Y182" s="264"/>
      <c r="Z182" s="301">
        <v>4.484</v>
      </c>
      <c r="AA182" s="53" t="s">
        <v>842</v>
      </c>
      <c r="AB182" s="301">
        <v>4.484</v>
      </c>
      <c r="AC182" s="56">
        <v>5</v>
      </c>
      <c r="AD182" s="102" t="s">
        <v>1731</v>
      </c>
      <c r="AE182" s="85">
        <v>22</v>
      </c>
      <c r="AF182" s="85">
        <v>0</v>
      </c>
      <c r="AG182" s="85">
        <v>15</v>
      </c>
      <c r="AH182" s="85">
        <v>0</v>
      </c>
      <c r="AI182" s="104">
        <v>0</v>
      </c>
      <c r="AJ182" s="102">
        <v>0</v>
      </c>
      <c r="AK182" s="102"/>
      <c r="AL182" s="102"/>
      <c r="AM182" s="301">
        <v>4.484</v>
      </c>
      <c r="AN182" s="53" t="s">
        <v>842</v>
      </c>
      <c r="AO182" s="239"/>
      <c r="AP182" s="166">
        <v>26</v>
      </c>
      <c r="AQ182" s="167">
        <v>0</v>
      </c>
      <c r="AR182" s="168" t="s">
        <v>144</v>
      </c>
      <c r="AS182" s="169" t="s">
        <v>51</v>
      </c>
      <c r="AT182" s="156"/>
    </row>
    <row r="183" spans="1:46" ht="31.5" x14ac:dyDescent="0.2">
      <c r="A183" s="23" t="s">
        <v>843</v>
      </c>
      <c r="B183" s="24" t="s">
        <v>844</v>
      </c>
      <c r="C183" s="90">
        <f>8.822-0.089</f>
        <v>8.7329999999999988</v>
      </c>
      <c r="D183" s="422">
        <f t="shared" si="7"/>
        <v>8.7330000000000005</v>
      </c>
      <c r="E183" s="422">
        <f t="shared" si="8"/>
        <v>0</v>
      </c>
      <c r="F183" s="25" t="s">
        <v>811</v>
      </c>
      <c r="G183" s="26" t="s">
        <v>845</v>
      </c>
      <c r="H183" s="188"/>
      <c r="I183" s="326"/>
      <c r="J183" s="252">
        <v>3.6110000000000002</v>
      </c>
      <c r="K183" s="28" t="s">
        <v>1818</v>
      </c>
      <c r="L183" s="46"/>
      <c r="M183" s="46"/>
      <c r="N183" s="47"/>
      <c r="O183" s="47"/>
      <c r="P183" s="47"/>
      <c r="Q183" s="553"/>
      <c r="R183" s="29">
        <v>3.6110000000000002</v>
      </c>
      <c r="S183" s="542" t="s">
        <v>1818</v>
      </c>
      <c r="T183" s="550"/>
      <c r="U183" s="538"/>
      <c r="V183" s="29">
        <v>3.6110000000000002</v>
      </c>
      <c r="W183" s="28" t="s">
        <v>1818</v>
      </c>
      <c r="X183" s="263"/>
      <c r="Y183" s="264"/>
      <c r="Z183" s="301">
        <v>5.1219999999999999</v>
      </c>
      <c r="AA183" s="53" t="s">
        <v>1654</v>
      </c>
      <c r="AB183" s="53"/>
      <c r="AC183" s="104">
        <v>0</v>
      </c>
      <c r="AD183" s="102">
        <v>0</v>
      </c>
      <c r="AE183" s="103">
        <v>0</v>
      </c>
      <c r="AF183" s="103">
        <v>0</v>
      </c>
      <c r="AG183" s="103">
        <v>0</v>
      </c>
      <c r="AH183" s="103">
        <v>0</v>
      </c>
      <c r="AI183" s="56">
        <v>0</v>
      </c>
      <c r="AJ183" s="102">
        <v>0</v>
      </c>
      <c r="AK183" s="219"/>
      <c r="AL183" s="219"/>
      <c r="AM183" s="301">
        <v>5.1219999999999999</v>
      </c>
      <c r="AN183" s="53" t="s">
        <v>1654</v>
      </c>
      <c r="AO183" s="239"/>
      <c r="AP183" s="166">
        <v>0</v>
      </c>
      <c r="AQ183" s="167">
        <v>0</v>
      </c>
      <c r="AR183" s="168" t="s">
        <v>60</v>
      </c>
      <c r="AS183" s="169" t="s">
        <v>51</v>
      </c>
      <c r="AT183" s="156"/>
    </row>
    <row r="184" spans="1:46" ht="31.5" x14ac:dyDescent="0.2">
      <c r="A184" s="23" t="s">
        <v>846</v>
      </c>
      <c r="B184" s="24" t="s">
        <v>847</v>
      </c>
      <c r="C184" s="90">
        <f>20.344-0.09</f>
        <v>20.254000000000001</v>
      </c>
      <c r="D184" s="422">
        <f t="shared" si="7"/>
        <v>20.254000000000001</v>
      </c>
      <c r="E184" s="422">
        <f t="shared" si="8"/>
        <v>0</v>
      </c>
      <c r="F184" s="25" t="s">
        <v>848</v>
      </c>
      <c r="G184" s="11"/>
      <c r="H184" s="188" t="s">
        <v>849</v>
      </c>
      <c r="I184" s="326"/>
      <c r="J184" s="257"/>
      <c r="K184" s="27"/>
      <c r="L184" s="80"/>
      <c r="M184" s="80"/>
      <c r="N184" s="81"/>
      <c r="O184" s="81"/>
      <c r="P184" s="81"/>
      <c r="Q184" s="81"/>
      <c r="R184" s="80"/>
      <c r="S184" s="80"/>
      <c r="T184" s="211"/>
      <c r="U184" s="211"/>
      <c r="V184" s="263"/>
      <c r="W184" s="263"/>
      <c r="X184" s="263"/>
      <c r="Y184" s="264"/>
      <c r="Z184" s="377">
        <v>20.254000000000001</v>
      </c>
      <c r="AA184" s="345" t="s">
        <v>847</v>
      </c>
      <c r="AB184" s="378"/>
      <c r="AC184" s="379">
        <v>16.5</v>
      </c>
      <c r="AD184" s="380" t="s">
        <v>850</v>
      </c>
      <c r="AE184" s="381">
        <v>13</v>
      </c>
      <c r="AF184" s="381">
        <v>0</v>
      </c>
      <c r="AG184" s="381">
        <v>0</v>
      </c>
      <c r="AH184" s="381">
        <v>0</v>
      </c>
      <c r="AI184" s="380">
        <f>1.6-0.09+20.344-17.7</f>
        <v>4.1540000000000035</v>
      </c>
      <c r="AJ184" s="380" t="s">
        <v>851</v>
      </c>
      <c r="AK184" s="380"/>
      <c r="AL184" s="380"/>
      <c r="AM184" s="311"/>
      <c r="AN184" s="312"/>
      <c r="AO184" s="239"/>
      <c r="AP184" s="166">
        <v>0</v>
      </c>
      <c r="AQ184" s="167">
        <v>0</v>
      </c>
      <c r="AR184" s="168" t="s">
        <v>60</v>
      </c>
      <c r="AS184" s="169" t="s">
        <v>51</v>
      </c>
      <c r="AT184" s="156"/>
    </row>
    <row r="185" spans="1:46" ht="42" x14ac:dyDescent="0.2">
      <c r="A185" s="23" t="s">
        <v>852</v>
      </c>
      <c r="B185" s="24" t="s">
        <v>853</v>
      </c>
      <c r="C185" s="90">
        <f>128.623-23.125</f>
        <v>105.49799999999999</v>
      </c>
      <c r="D185" s="422">
        <f t="shared" si="7"/>
        <v>105.49799999999999</v>
      </c>
      <c r="E185" s="422">
        <f t="shared" si="8"/>
        <v>0</v>
      </c>
      <c r="F185" s="25" t="s">
        <v>627</v>
      </c>
      <c r="G185" s="26" t="s">
        <v>854</v>
      </c>
      <c r="H185" s="188"/>
      <c r="I185" s="326"/>
      <c r="J185" s="252">
        <v>105.49799999999999</v>
      </c>
      <c r="K185" s="29" t="s">
        <v>855</v>
      </c>
      <c r="L185" s="94">
        <v>78.3</v>
      </c>
      <c r="M185" s="31" t="s">
        <v>856</v>
      </c>
      <c r="N185" s="31">
        <v>37</v>
      </c>
      <c r="O185" s="31"/>
      <c r="P185" s="31">
        <v>35</v>
      </c>
      <c r="Q185" s="31">
        <v>86</v>
      </c>
      <c r="R185" s="31">
        <f>50-23.125</f>
        <v>26.875</v>
      </c>
      <c r="S185" s="31" t="s">
        <v>857</v>
      </c>
      <c r="T185" s="31"/>
      <c r="U185" s="31"/>
      <c r="V185" s="263"/>
      <c r="W185" s="263"/>
      <c r="X185" s="263"/>
      <c r="Y185" s="263"/>
      <c r="Z185" s="27"/>
      <c r="AA185" s="33"/>
      <c r="AB185" s="69"/>
      <c r="AC185" s="69"/>
      <c r="AD185" s="33"/>
      <c r="AE185" s="37"/>
      <c r="AF185" s="37"/>
      <c r="AG185" s="37"/>
      <c r="AH185" s="37"/>
      <c r="AI185" s="69"/>
      <c r="AJ185" s="69"/>
      <c r="AK185" s="69"/>
      <c r="AL185" s="69"/>
      <c r="AM185" s="311"/>
      <c r="AN185" s="312"/>
      <c r="AO185" s="239"/>
      <c r="AP185" s="166">
        <v>0</v>
      </c>
      <c r="AQ185" s="167">
        <v>0</v>
      </c>
      <c r="AR185" s="168" t="s">
        <v>60</v>
      </c>
      <c r="AS185" s="169" t="s">
        <v>51</v>
      </c>
      <c r="AT185" s="156"/>
    </row>
    <row r="186" spans="1:46" ht="42" x14ac:dyDescent="0.2">
      <c r="A186" s="23" t="s">
        <v>858</v>
      </c>
      <c r="B186" s="24" t="s">
        <v>859</v>
      </c>
      <c r="C186" s="90">
        <f>13.252-0.722</f>
        <v>12.530000000000001</v>
      </c>
      <c r="D186" s="422">
        <f t="shared" si="7"/>
        <v>12.530000000000001</v>
      </c>
      <c r="E186" s="422">
        <f t="shared" si="8"/>
        <v>0</v>
      </c>
      <c r="F186" s="25" t="s">
        <v>627</v>
      </c>
      <c r="G186" s="26" t="s">
        <v>860</v>
      </c>
      <c r="H186" s="188"/>
      <c r="I186" s="326"/>
      <c r="J186" s="252">
        <v>12.530000000000001</v>
      </c>
      <c r="K186" s="29" t="s">
        <v>861</v>
      </c>
      <c r="L186" s="94"/>
      <c r="M186" s="31"/>
      <c r="N186" s="31"/>
      <c r="O186" s="31"/>
      <c r="P186" s="31"/>
      <c r="Q186" s="31"/>
      <c r="R186" s="31">
        <v>6</v>
      </c>
      <c r="S186" s="31" t="s">
        <v>859</v>
      </c>
      <c r="T186" s="31"/>
      <c r="U186" s="31"/>
      <c r="V186" s="263"/>
      <c r="W186" s="263"/>
      <c r="X186" s="263"/>
      <c r="Y186" s="263"/>
      <c r="Z186" s="27"/>
      <c r="AA186" s="33"/>
      <c r="AB186" s="69"/>
      <c r="AC186" s="69"/>
      <c r="AD186" s="33"/>
      <c r="AE186" s="37"/>
      <c r="AF186" s="37"/>
      <c r="AG186" s="37"/>
      <c r="AH186" s="37"/>
      <c r="AI186" s="69"/>
      <c r="AJ186" s="69"/>
      <c r="AK186" s="69"/>
      <c r="AL186" s="69"/>
      <c r="AM186" s="311"/>
      <c r="AN186" s="312"/>
      <c r="AO186" s="239"/>
      <c r="AP186" s="166">
        <v>0</v>
      </c>
      <c r="AQ186" s="167">
        <v>0</v>
      </c>
      <c r="AR186" s="168" t="s">
        <v>60</v>
      </c>
      <c r="AS186" s="169" t="s">
        <v>51</v>
      </c>
      <c r="AT186" s="156"/>
    </row>
    <row r="187" spans="1:46" ht="31.5" x14ac:dyDescent="0.2">
      <c r="A187" s="23" t="s">
        <v>862</v>
      </c>
      <c r="B187" s="24" t="s">
        <v>863</v>
      </c>
      <c r="C187" s="90">
        <f>12.258-0.041</f>
        <v>12.216999999999999</v>
      </c>
      <c r="D187" s="422">
        <f t="shared" si="7"/>
        <v>12.216999999999999</v>
      </c>
      <c r="E187" s="422">
        <f t="shared" si="8"/>
        <v>0</v>
      </c>
      <c r="F187" s="25" t="s">
        <v>627</v>
      </c>
      <c r="G187" s="26" t="s">
        <v>864</v>
      </c>
      <c r="H187" s="188"/>
      <c r="I187" s="326"/>
      <c r="J187" s="252">
        <v>12.216999999999999</v>
      </c>
      <c r="K187" s="29" t="s">
        <v>865</v>
      </c>
      <c r="L187" s="94"/>
      <c r="M187" s="31"/>
      <c r="N187" s="31"/>
      <c r="O187" s="31"/>
      <c r="P187" s="31"/>
      <c r="Q187" s="31"/>
      <c r="R187" s="31">
        <v>6</v>
      </c>
      <c r="S187" s="31" t="s">
        <v>863</v>
      </c>
      <c r="T187" s="31"/>
      <c r="U187" s="31"/>
      <c r="V187" s="263"/>
      <c r="W187" s="263"/>
      <c r="X187" s="263"/>
      <c r="Y187" s="263"/>
      <c r="Z187" s="27"/>
      <c r="AA187" s="33"/>
      <c r="AB187" s="69"/>
      <c r="AC187" s="69"/>
      <c r="AD187" s="33"/>
      <c r="AE187" s="37"/>
      <c r="AF187" s="37"/>
      <c r="AG187" s="37"/>
      <c r="AH187" s="37"/>
      <c r="AI187" s="69"/>
      <c r="AJ187" s="69"/>
      <c r="AK187" s="69"/>
      <c r="AL187" s="69"/>
      <c r="AM187" s="311"/>
      <c r="AN187" s="312"/>
      <c r="AO187" s="239"/>
      <c r="AP187" s="166">
        <v>0</v>
      </c>
      <c r="AQ187" s="167">
        <v>0</v>
      </c>
      <c r="AR187" s="168" t="s">
        <v>60</v>
      </c>
      <c r="AS187" s="169" t="s">
        <v>51</v>
      </c>
      <c r="AT187" s="156"/>
    </row>
    <row r="188" spans="1:46" ht="21" x14ac:dyDescent="0.2">
      <c r="A188" s="23" t="s">
        <v>866</v>
      </c>
      <c r="B188" s="24" t="s">
        <v>867</v>
      </c>
      <c r="C188" s="90">
        <f>41.433-0.344</f>
        <v>41.088999999999999</v>
      </c>
      <c r="D188" s="422">
        <f t="shared" si="7"/>
        <v>41.088999999999999</v>
      </c>
      <c r="E188" s="422">
        <f t="shared" si="8"/>
        <v>0</v>
      </c>
      <c r="F188" s="25" t="s">
        <v>627</v>
      </c>
      <c r="G188" s="26" t="s">
        <v>868</v>
      </c>
      <c r="H188" s="188"/>
      <c r="I188" s="326"/>
      <c r="J188" s="252">
        <v>41.088999999999999</v>
      </c>
      <c r="K188" s="29" t="s">
        <v>869</v>
      </c>
      <c r="L188" s="94"/>
      <c r="M188" s="31"/>
      <c r="N188" s="31"/>
      <c r="O188" s="31"/>
      <c r="P188" s="31"/>
      <c r="Q188" s="31"/>
      <c r="R188" s="31">
        <v>21</v>
      </c>
      <c r="S188" s="31" t="s">
        <v>867</v>
      </c>
      <c r="T188" s="31"/>
      <c r="U188" s="31"/>
      <c r="V188" s="263"/>
      <c r="W188" s="263"/>
      <c r="X188" s="263"/>
      <c r="Y188" s="263"/>
      <c r="Z188" s="27"/>
      <c r="AA188" s="33"/>
      <c r="AB188" s="69"/>
      <c r="AC188" s="69"/>
      <c r="AD188" s="33"/>
      <c r="AE188" s="37"/>
      <c r="AF188" s="37"/>
      <c r="AG188" s="37"/>
      <c r="AH188" s="37"/>
      <c r="AI188" s="69"/>
      <c r="AJ188" s="69"/>
      <c r="AK188" s="69"/>
      <c r="AL188" s="69"/>
      <c r="AM188" s="311"/>
      <c r="AN188" s="312"/>
      <c r="AO188" s="239"/>
      <c r="AP188" s="166">
        <v>0</v>
      </c>
      <c r="AQ188" s="167">
        <v>0</v>
      </c>
      <c r="AR188" s="168" t="s">
        <v>60</v>
      </c>
      <c r="AS188" s="169" t="s">
        <v>51</v>
      </c>
      <c r="AT188" s="156"/>
    </row>
    <row r="189" spans="1:46" ht="94.5" x14ac:dyDescent="0.2">
      <c r="A189" s="23" t="s">
        <v>870</v>
      </c>
      <c r="B189" s="498" t="s">
        <v>871</v>
      </c>
      <c r="C189" s="499">
        <f>73.249-14.687</f>
        <v>58.561999999999998</v>
      </c>
      <c r="D189" s="497">
        <f t="shared" si="7"/>
        <v>58.027000000000001</v>
      </c>
      <c r="E189" s="497">
        <f t="shared" si="8"/>
        <v>-0.53499999999999659</v>
      </c>
      <c r="F189" s="100" t="s">
        <v>26</v>
      </c>
      <c r="G189" s="26" t="s">
        <v>872</v>
      </c>
      <c r="H189" s="188"/>
      <c r="I189" s="326"/>
      <c r="J189" s="250">
        <v>25.015999999999998</v>
      </c>
      <c r="K189" s="40" t="s">
        <v>1817</v>
      </c>
      <c r="L189" s="41"/>
      <c r="M189" s="31"/>
      <c r="N189" s="31"/>
      <c r="O189" s="31"/>
      <c r="P189" s="31"/>
      <c r="Q189" s="31"/>
      <c r="R189" s="31">
        <v>30</v>
      </c>
      <c r="S189" s="31"/>
      <c r="T189" s="31"/>
      <c r="U189" s="489"/>
      <c r="V189" s="28">
        <v>25.015999999999998</v>
      </c>
      <c r="W189" s="40" t="s">
        <v>1817</v>
      </c>
      <c r="X189" s="263"/>
      <c r="Y189" s="264"/>
      <c r="Z189" s="537">
        <v>33.011000000000003</v>
      </c>
      <c r="AA189" s="388" t="s">
        <v>1717</v>
      </c>
      <c r="AB189" s="388"/>
      <c r="AC189" s="389"/>
      <c r="AD189" s="388"/>
      <c r="AE189" s="390"/>
      <c r="AF189" s="390"/>
      <c r="AG189" s="390"/>
      <c r="AH189" s="390"/>
      <c r="AI189" s="389">
        <v>33.1</v>
      </c>
      <c r="AJ189" s="388" t="s">
        <v>1717</v>
      </c>
      <c r="AK189" s="219"/>
      <c r="AL189" s="219"/>
      <c r="AM189" s="311"/>
      <c r="AN189" s="312"/>
      <c r="AO189" s="239"/>
      <c r="AP189" s="166">
        <v>0</v>
      </c>
      <c r="AQ189" s="167">
        <v>387</v>
      </c>
      <c r="AR189" s="168" t="s">
        <v>873</v>
      </c>
      <c r="AS189" s="169" t="s">
        <v>33</v>
      </c>
    </row>
    <row r="190" spans="1:46" ht="52.5" x14ac:dyDescent="0.2">
      <c r="A190" s="23" t="s">
        <v>874</v>
      </c>
      <c r="B190" s="24" t="s">
        <v>875</v>
      </c>
      <c r="C190" s="90">
        <f>20.422-0.286</f>
        <v>20.135999999999999</v>
      </c>
      <c r="D190" s="422">
        <f t="shared" si="7"/>
        <v>20.135999999999999</v>
      </c>
      <c r="E190" s="422">
        <f t="shared" si="8"/>
        <v>0</v>
      </c>
      <c r="F190" s="25" t="s">
        <v>627</v>
      </c>
      <c r="G190" s="26" t="s">
        <v>876</v>
      </c>
      <c r="H190" s="188"/>
      <c r="I190" s="326"/>
      <c r="J190" s="252">
        <v>20.135999999999999</v>
      </c>
      <c r="K190" s="29" t="s">
        <v>877</v>
      </c>
      <c r="L190" s="94"/>
      <c r="M190" s="31"/>
      <c r="N190" s="31"/>
      <c r="O190" s="31"/>
      <c r="P190" s="31"/>
      <c r="Q190" s="31"/>
      <c r="R190" s="31">
        <v>11</v>
      </c>
      <c r="S190" s="31" t="s">
        <v>877</v>
      </c>
      <c r="T190" s="31"/>
      <c r="U190" s="31"/>
      <c r="V190" s="263"/>
      <c r="W190" s="263"/>
      <c r="X190" s="263"/>
      <c r="Y190" s="263"/>
      <c r="Z190" s="27"/>
      <c r="AA190" s="33"/>
      <c r="AB190" s="69"/>
      <c r="AC190" s="69"/>
      <c r="AD190" s="33"/>
      <c r="AE190" s="37"/>
      <c r="AF190" s="37"/>
      <c r="AG190" s="37"/>
      <c r="AH190" s="37"/>
      <c r="AI190" s="69"/>
      <c r="AJ190" s="69"/>
      <c r="AK190" s="69"/>
      <c r="AL190" s="69"/>
      <c r="AM190" s="311"/>
      <c r="AN190" s="312"/>
      <c r="AO190" s="239"/>
      <c r="AP190" s="166">
        <v>0</v>
      </c>
      <c r="AQ190" s="167">
        <v>0</v>
      </c>
      <c r="AR190" s="168" t="s">
        <v>60</v>
      </c>
      <c r="AS190" s="169" t="s">
        <v>51</v>
      </c>
      <c r="AT190" s="156"/>
    </row>
    <row r="191" spans="1:46" ht="31.5" x14ac:dyDescent="0.2">
      <c r="A191" s="23" t="s">
        <v>878</v>
      </c>
      <c r="B191" s="24" t="s">
        <v>879</v>
      </c>
      <c r="C191" s="90">
        <f>4.737-0.411</f>
        <v>4.3260000000000005</v>
      </c>
      <c r="D191" s="422">
        <f t="shared" si="7"/>
        <v>4.3260000000000005</v>
      </c>
      <c r="E191" s="422">
        <f t="shared" si="8"/>
        <v>0</v>
      </c>
      <c r="F191" s="25" t="s">
        <v>627</v>
      </c>
      <c r="G191" s="26" t="s">
        <v>880</v>
      </c>
      <c r="H191" s="188"/>
      <c r="I191" s="326"/>
      <c r="J191" s="252">
        <v>4.3260000000000005</v>
      </c>
      <c r="K191" s="29" t="s">
        <v>881</v>
      </c>
      <c r="L191" s="94"/>
      <c r="M191" s="31"/>
      <c r="N191" s="31"/>
      <c r="O191" s="31"/>
      <c r="P191" s="31"/>
      <c r="Q191" s="31"/>
      <c r="R191" s="31">
        <v>2</v>
      </c>
      <c r="S191" s="31" t="s">
        <v>881</v>
      </c>
      <c r="T191" s="31"/>
      <c r="U191" s="31"/>
      <c r="V191" s="263"/>
      <c r="W191" s="263"/>
      <c r="X191" s="263"/>
      <c r="Y191" s="263"/>
      <c r="Z191" s="27"/>
      <c r="AA191" s="33"/>
      <c r="AB191" s="69"/>
      <c r="AC191" s="69"/>
      <c r="AD191" s="33"/>
      <c r="AE191" s="37"/>
      <c r="AF191" s="37"/>
      <c r="AG191" s="37"/>
      <c r="AH191" s="37"/>
      <c r="AI191" s="69"/>
      <c r="AJ191" s="69"/>
      <c r="AK191" s="69"/>
      <c r="AL191" s="69"/>
      <c r="AM191" s="311"/>
      <c r="AN191" s="312"/>
      <c r="AO191" s="239"/>
      <c r="AP191" s="166">
        <v>0</v>
      </c>
      <c r="AQ191" s="167">
        <v>0</v>
      </c>
      <c r="AR191" s="168" t="s">
        <v>60</v>
      </c>
      <c r="AS191" s="169" t="s">
        <v>51</v>
      </c>
      <c r="AT191" s="156"/>
    </row>
    <row r="192" spans="1:46" ht="31.5" x14ac:dyDescent="0.2">
      <c r="A192" s="23" t="s">
        <v>882</v>
      </c>
      <c r="B192" s="24" t="s">
        <v>883</v>
      </c>
      <c r="C192" s="90">
        <f>10.258-0.527</f>
        <v>9.7309999999999999</v>
      </c>
      <c r="D192" s="422">
        <f t="shared" si="7"/>
        <v>9.7309999999999999</v>
      </c>
      <c r="E192" s="422">
        <f t="shared" si="8"/>
        <v>0</v>
      </c>
      <c r="F192" s="25" t="s">
        <v>627</v>
      </c>
      <c r="G192" s="26" t="s">
        <v>884</v>
      </c>
      <c r="H192" s="188"/>
      <c r="I192" s="326"/>
      <c r="J192" s="252">
        <v>9.7309999999999999</v>
      </c>
      <c r="K192" s="29" t="s">
        <v>885</v>
      </c>
      <c r="L192" s="94"/>
      <c r="M192" s="31"/>
      <c r="N192" s="31"/>
      <c r="O192" s="31"/>
      <c r="P192" s="31"/>
      <c r="Q192" s="31"/>
      <c r="R192" s="31">
        <v>5</v>
      </c>
      <c r="S192" s="31" t="s">
        <v>885</v>
      </c>
      <c r="T192" s="31"/>
      <c r="U192" s="31"/>
      <c r="V192" s="263"/>
      <c r="W192" s="263"/>
      <c r="X192" s="263"/>
      <c r="Y192" s="263"/>
      <c r="Z192" s="27"/>
      <c r="AA192" s="33"/>
      <c r="AB192" s="69"/>
      <c r="AC192" s="69"/>
      <c r="AD192" s="33"/>
      <c r="AE192" s="37"/>
      <c r="AF192" s="37"/>
      <c r="AG192" s="37"/>
      <c r="AH192" s="37"/>
      <c r="AI192" s="69"/>
      <c r="AJ192" s="69"/>
      <c r="AK192" s="69"/>
      <c r="AL192" s="69"/>
      <c r="AM192" s="311"/>
      <c r="AN192" s="312"/>
      <c r="AO192" s="239"/>
      <c r="AP192" s="166">
        <v>0</v>
      </c>
      <c r="AQ192" s="167">
        <v>0</v>
      </c>
      <c r="AR192" s="168" t="s">
        <v>60</v>
      </c>
      <c r="AS192" s="169" t="s">
        <v>51</v>
      </c>
      <c r="AT192" s="156"/>
    </row>
    <row r="193" spans="1:50" ht="31.5" x14ac:dyDescent="0.2">
      <c r="A193" s="23" t="s">
        <v>886</v>
      </c>
      <c r="B193" s="24" t="s">
        <v>887</v>
      </c>
      <c r="C193" s="90">
        <f>31.689-0.188</f>
        <v>31.501000000000001</v>
      </c>
      <c r="D193" s="422">
        <f t="shared" si="7"/>
        <v>31.501000000000001</v>
      </c>
      <c r="E193" s="422">
        <f t="shared" si="8"/>
        <v>0</v>
      </c>
      <c r="F193" s="25" t="s">
        <v>627</v>
      </c>
      <c r="G193" s="26" t="s">
        <v>888</v>
      </c>
      <c r="H193" s="188"/>
      <c r="I193" s="326"/>
      <c r="J193" s="252">
        <v>31.501000000000001</v>
      </c>
      <c r="K193" s="29" t="s">
        <v>889</v>
      </c>
      <c r="L193" s="94"/>
      <c r="M193" s="31"/>
      <c r="N193" s="31"/>
      <c r="O193" s="31"/>
      <c r="P193" s="31"/>
      <c r="Q193" s="31"/>
      <c r="R193" s="31">
        <v>16</v>
      </c>
      <c r="S193" s="31" t="s">
        <v>889</v>
      </c>
      <c r="T193" s="31"/>
      <c r="U193" s="31"/>
      <c r="V193" s="263"/>
      <c r="W193" s="263"/>
      <c r="X193" s="263"/>
      <c r="Y193" s="263"/>
      <c r="Z193" s="27"/>
      <c r="AA193" s="33"/>
      <c r="AB193" s="69"/>
      <c r="AC193" s="69"/>
      <c r="AD193" s="33"/>
      <c r="AE193" s="37"/>
      <c r="AF193" s="37"/>
      <c r="AG193" s="37"/>
      <c r="AH193" s="37"/>
      <c r="AI193" s="69"/>
      <c r="AJ193" s="69"/>
      <c r="AK193" s="69"/>
      <c r="AL193" s="69"/>
      <c r="AM193" s="311"/>
      <c r="AN193" s="312"/>
      <c r="AO193" s="239"/>
      <c r="AP193" s="166">
        <v>0</v>
      </c>
      <c r="AQ193" s="167">
        <v>0</v>
      </c>
      <c r="AR193" s="168" t="s">
        <v>60</v>
      </c>
      <c r="AS193" s="169" t="s">
        <v>51</v>
      </c>
      <c r="AT193" s="156"/>
    </row>
    <row r="194" spans="1:50" ht="21" x14ac:dyDescent="0.2">
      <c r="A194" s="367" t="s">
        <v>890</v>
      </c>
      <c r="B194" s="24" t="s">
        <v>891</v>
      </c>
      <c r="C194" s="90">
        <v>5.0919999999999996</v>
      </c>
      <c r="D194" s="422">
        <f t="shared" ref="D194:D257" si="10">J194+Z194</f>
        <v>5.0919999999999996</v>
      </c>
      <c r="E194" s="422">
        <f t="shared" si="8"/>
        <v>0</v>
      </c>
      <c r="F194" s="25" t="s">
        <v>627</v>
      </c>
      <c r="G194" s="3" t="s">
        <v>892</v>
      </c>
      <c r="H194" s="188" t="s">
        <v>892</v>
      </c>
      <c r="I194" s="326"/>
      <c r="J194" s="257"/>
      <c r="K194" s="27"/>
      <c r="L194" s="95"/>
      <c r="M194" s="80"/>
      <c r="N194" s="81"/>
      <c r="O194" s="81"/>
      <c r="P194" s="81"/>
      <c r="Q194" s="81"/>
      <c r="R194" s="95"/>
      <c r="S194" s="80"/>
      <c r="T194" s="214"/>
      <c r="U194" s="214"/>
      <c r="V194" s="263"/>
      <c r="W194" s="263"/>
      <c r="X194" s="263"/>
      <c r="Y194" s="263"/>
      <c r="Z194" s="71">
        <v>5.0919999999999996</v>
      </c>
      <c r="AA194" s="71" t="s">
        <v>893</v>
      </c>
      <c r="AB194" s="79">
        <v>0</v>
      </c>
      <c r="AC194" s="79">
        <v>5.0919999999999996</v>
      </c>
      <c r="AD194" s="71" t="s">
        <v>1779</v>
      </c>
      <c r="AE194" s="78">
        <v>38</v>
      </c>
      <c r="AF194" s="78">
        <v>0</v>
      </c>
      <c r="AG194" s="78">
        <v>11</v>
      </c>
      <c r="AH194" s="78">
        <v>0</v>
      </c>
      <c r="AI194" s="79">
        <v>0</v>
      </c>
      <c r="AJ194" s="78">
        <v>0</v>
      </c>
      <c r="AK194" s="79"/>
      <c r="AL194" s="79"/>
      <c r="AM194" s="311"/>
      <c r="AN194" s="312"/>
      <c r="AO194" s="239"/>
      <c r="AP194" s="166">
        <v>0</v>
      </c>
      <c r="AQ194" s="167">
        <v>0</v>
      </c>
      <c r="AR194" s="168" t="s">
        <v>60</v>
      </c>
      <c r="AS194" s="169" t="s">
        <v>51</v>
      </c>
      <c r="AT194" s="156"/>
    </row>
    <row r="195" spans="1:50" ht="31.5" x14ac:dyDescent="0.2">
      <c r="A195" s="23" t="s">
        <v>894</v>
      </c>
      <c r="B195" s="24" t="s">
        <v>895</v>
      </c>
      <c r="C195" s="90">
        <f>23.168-0.949</f>
        <v>22.218999999999998</v>
      </c>
      <c r="D195" s="422">
        <f t="shared" si="10"/>
        <v>22.218999999999998</v>
      </c>
      <c r="E195" s="422">
        <f t="shared" ref="E195:E258" si="11">D195-C195</f>
        <v>0</v>
      </c>
      <c r="F195" s="25" t="s">
        <v>627</v>
      </c>
      <c r="G195" s="26" t="s">
        <v>896</v>
      </c>
      <c r="H195" s="188"/>
      <c r="I195" s="326" t="s">
        <v>895</v>
      </c>
      <c r="J195" s="252">
        <v>22.218999999999998</v>
      </c>
      <c r="K195" s="29" t="s">
        <v>897</v>
      </c>
      <c r="L195" s="94"/>
      <c r="M195" s="94"/>
      <c r="N195" s="94"/>
      <c r="O195" s="94"/>
      <c r="P195" s="94"/>
      <c r="Q195" s="94"/>
      <c r="R195" s="94">
        <v>11.1</v>
      </c>
      <c r="S195" s="94" t="s">
        <v>895</v>
      </c>
      <c r="T195" s="94"/>
      <c r="U195" s="94"/>
      <c r="V195" s="263"/>
      <c r="W195" s="263"/>
      <c r="X195" s="263"/>
      <c r="Y195" s="263"/>
      <c r="Z195" s="27"/>
      <c r="AA195" s="33"/>
      <c r="AB195" s="69"/>
      <c r="AC195" s="69"/>
      <c r="AD195" s="33"/>
      <c r="AE195" s="37"/>
      <c r="AF195" s="37"/>
      <c r="AG195" s="37"/>
      <c r="AH195" s="37"/>
      <c r="AI195" s="69"/>
      <c r="AJ195" s="69"/>
      <c r="AK195" s="69"/>
      <c r="AL195" s="69"/>
      <c r="AM195" s="311"/>
      <c r="AN195" s="312"/>
      <c r="AO195" s="239"/>
      <c r="AP195" s="166">
        <v>0</v>
      </c>
      <c r="AQ195" s="167"/>
      <c r="AR195" s="168" t="s">
        <v>60</v>
      </c>
      <c r="AS195" s="169" t="s">
        <v>51</v>
      </c>
      <c r="AT195" s="156"/>
    </row>
    <row r="196" spans="1:50" ht="63" x14ac:dyDescent="0.2">
      <c r="A196" s="23" t="s">
        <v>898</v>
      </c>
      <c r="B196" s="24" t="s">
        <v>899</v>
      </c>
      <c r="C196" s="90">
        <f>409.899-245.284</f>
        <v>164.61500000000001</v>
      </c>
      <c r="D196" s="422">
        <f t="shared" si="10"/>
        <v>164.61500000000001</v>
      </c>
      <c r="E196" s="422">
        <f t="shared" si="11"/>
        <v>0</v>
      </c>
      <c r="F196" s="25" t="s">
        <v>900</v>
      </c>
      <c r="G196" s="38" t="s">
        <v>901</v>
      </c>
      <c r="H196" s="188" t="s">
        <v>902</v>
      </c>
      <c r="I196" s="326" t="s">
        <v>899</v>
      </c>
      <c r="J196" s="268">
        <v>154.83600000000001</v>
      </c>
      <c r="K196" s="29" t="s">
        <v>903</v>
      </c>
      <c r="L196" s="94"/>
      <c r="M196" s="30"/>
      <c r="N196" s="31"/>
      <c r="O196" s="31"/>
      <c r="P196" s="31"/>
      <c r="Q196" s="31"/>
      <c r="R196" s="94">
        <v>51.9</v>
      </c>
      <c r="S196" s="30" t="s">
        <v>1760</v>
      </c>
      <c r="T196" s="94"/>
      <c r="U196" s="94"/>
      <c r="V196" s="28">
        <v>154.83600000000001</v>
      </c>
      <c r="W196" s="29" t="s">
        <v>903</v>
      </c>
      <c r="X196" s="149"/>
      <c r="Y196" s="370" t="s">
        <v>903</v>
      </c>
      <c r="Z196" s="61">
        <v>9.7789999999999964</v>
      </c>
      <c r="AA196" s="98" t="s">
        <v>1764</v>
      </c>
      <c r="AB196" s="61"/>
      <c r="AC196" s="61"/>
      <c r="AD196" s="98"/>
      <c r="AE196" s="60"/>
      <c r="AF196" s="60"/>
      <c r="AG196" s="60"/>
      <c r="AH196" s="60"/>
      <c r="AI196" s="61">
        <v>2.2000000000000002</v>
      </c>
      <c r="AJ196" s="61" t="s">
        <v>1765</v>
      </c>
      <c r="AK196" s="61"/>
      <c r="AL196" s="61"/>
      <c r="AM196" s="371">
        <f>9.779+0.982</f>
        <v>10.760999999999999</v>
      </c>
      <c r="AN196" s="298" t="s">
        <v>1626</v>
      </c>
      <c r="AO196" s="239" t="s">
        <v>904</v>
      </c>
      <c r="AP196" s="166">
        <v>28</v>
      </c>
      <c r="AQ196" s="167">
        <v>1014</v>
      </c>
      <c r="AR196" s="168" t="s">
        <v>1</v>
      </c>
      <c r="AS196" s="169" t="s">
        <v>1</v>
      </c>
      <c r="AT196" s="156">
        <v>403.71600000000001</v>
      </c>
      <c r="AU196" s="156">
        <v>406.23599999999999</v>
      </c>
      <c r="AV196" s="156">
        <f t="shared" ref="AV196" si="12">AU196-AT196</f>
        <v>2.5199999999999818</v>
      </c>
      <c r="AW196" s="156">
        <v>26</v>
      </c>
      <c r="AX196" s="156">
        <v>26</v>
      </c>
    </row>
    <row r="197" spans="1:50" ht="31.5" x14ac:dyDescent="0.2">
      <c r="A197" s="23" t="s">
        <v>905</v>
      </c>
      <c r="B197" s="24" t="s">
        <v>906</v>
      </c>
      <c r="C197" s="90">
        <f>6.054-0.731</f>
        <v>5.3230000000000004</v>
      </c>
      <c r="D197" s="422">
        <f t="shared" si="10"/>
        <v>5.3230000000000004</v>
      </c>
      <c r="E197" s="422">
        <f t="shared" si="11"/>
        <v>0</v>
      </c>
      <c r="F197" s="25" t="s">
        <v>68</v>
      </c>
      <c r="G197" s="26" t="s">
        <v>907</v>
      </c>
      <c r="H197" s="188"/>
      <c r="I197" s="327" t="s">
        <v>906</v>
      </c>
      <c r="J197" s="250">
        <v>5.3230000000000004</v>
      </c>
      <c r="K197" s="29" t="s">
        <v>908</v>
      </c>
      <c r="L197" s="30">
        <v>1</v>
      </c>
      <c r="M197" s="30" t="s">
        <v>909</v>
      </c>
      <c r="N197" s="31">
        <v>3</v>
      </c>
      <c r="O197" s="31">
        <v>0</v>
      </c>
      <c r="P197" s="31">
        <v>0</v>
      </c>
      <c r="Q197" s="31">
        <v>0</v>
      </c>
      <c r="R197" s="30"/>
      <c r="S197" s="30"/>
      <c r="T197" s="208"/>
      <c r="U197" s="208"/>
      <c r="V197" s="263"/>
      <c r="W197" s="263"/>
      <c r="X197" s="263"/>
      <c r="Y197" s="264"/>
      <c r="Z197" s="382"/>
      <c r="AA197" s="383"/>
      <c r="AB197" s="383"/>
      <c r="AC197" s="384"/>
      <c r="AD197" s="383"/>
      <c r="AE197" s="385"/>
      <c r="AF197" s="385"/>
      <c r="AG197" s="385"/>
      <c r="AH197" s="385"/>
      <c r="AI197" s="384"/>
      <c r="AJ197" s="384"/>
      <c r="AK197" s="214"/>
      <c r="AL197" s="214"/>
      <c r="AM197" s="311"/>
      <c r="AN197" s="312"/>
      <c r="AO197" s="239"/>
      <c r="AP197" s="166">
        <v>0</v>
      </c>
      <c r="AQ197" s="167">
        <v>29</v>
      </c>
      <c r="AR197" s="168" t="s">
        <v>1</v>
      </c>
      <c r="AS197" s="169" t="s">
        <v>1</v>
      </c>
    </row>
    <row r="198" spans="1:50" ht="21" x14ac:dyDescent="0.2">
      <c r="A198" s="23" t="s">
        <v>910</v>
      </c>
      <c r="B198" s="24" t="s">
        <v>911</v>
      </c>
      <c r="C198" s="90">
        <f>2.899</f>
        <v>2.899</v>
      </c>
      <c r="D198" s="422">
        <f t="shared" si="10"/>
        <v>2.899</v>
      </c>
      <c r="E198" s="422">
        <f t="shared" si="11"/>
        <v>0</v>
      </c>
      <c r="F198" s="25" t="s">
        <v>627</v>
      </c>
      <c r="G198" s="26" t="s">
        <v>912</v>
      </c>
      <c r="H198" s="188"/>
      <c r="I198" s="326"/>
      <c r="J198" s="257"/>
      <c r="K198" s="27"/>
      <c r="L198" s="69"/>
      <c r="M198" s="27"/>
      <c r="N198" s="37"/>
      <c r="O198" s="37"/>
      <c r="P198" s="37"/>
      <c r="Q198" s="37"/>
      <c r="R198" s="69"/>
      <c r="S198" s="27"/>
      <c r="T198" s="214"/>
      <c r="U198" s="214"/>
      <c r="V198" s="263"/>
      <c r="W198" s="263"/>
      <c r="X198" s="263"/>
      <c r="Y198" s="263"/>
      <c r="Z198" s="71">
        <v>2.899</v>
      </c>
      <c r="AA198" s="71" t="s">
        <v>913</v>
      </c>
      <c r="AB198" s="79">
        <v>0</v>
      </c>
      <c r="AC198" s="79"/>
      <c r="AD198" s="79"/>
      <c r="AE198" s="79"/>
      <c r="AF198" s="79"/>
      <c r="AG198" s="79"/>
      <c r="AH198" s="79"/>
      <c r="AI198" s="79">
        <v>1.5</v>
      </c>
      <c r="AJ198" s="79" t="s">
        <v>914</v>
      </c>
      <c r="AK198" s="79"/>
      <c r="AL198" s="79"/>
      <c r="AM198" s="311"/>
      <c r="AN198" s="312"/>
      <c r="AO198" s="239"/>
      <c r="AP198" s="166">
        <v>0</v>
      </c>
      <c r="AQ198" s="167"/>
      <c r="AR198" s="168" t="s">
        <v>60</v>
      </c>
      <c r="AS198" s="169" t="s">
        <v>51</v>
      </c>
      <c r="AT198" s="156"/>
    </row>
    <row r="199" spans="1:50" ht="31.5" x14ac:dyDescent="0.2">
      <c r="A199" s="23" t="s">
        <v>915</v>
      </c>
      <c r="B199" s="24" t="s">
        <v>916</v>
      </c>
      <c r="C199" s="90">
        <f>0.249-0.025</f>
        <v>0.224</v>
      </c>
      <c r="D199" s="422">
        <f t="shared" si="10"/>
        <v>0.224</v>
      </c>
      <c r="E199" s="422">
        <f t="shared" si="11"/>
        <v>0</v>
      </c>
      <c r="F199" s="25" t="s">
        <v>68</v>
      </c>
      <c r="G199" s="26" t="s">
        <v>917</v>
      </c>
      <c r="H199" s="188"/>
      <c r="I199" s="326"/>
      <c r="J199" s="250">
        <v>0.224</v>
      </c>
      <c r="K199" s="29" t="s">
        <v>918</v>
      </c>
      <c r="L199" s="30"/>
      <c r="M199" s="30"/>
      <c r="N199" s="31"/>
      <c r="O199" s="31"/>
      <c r="P199" s="31"/>
      <c r="Q199" s="31"/>
      <c r="R199" s="30"/>
      <c r="S199" s="30"/>
      <c r="T199" s="208"/>
      <c r="U199" s="208"/>
      <c r="V199" s="263"/>
      <c r="W199" s="263"/>
      <c r="X199" s="263"/>
      <c r="Y199" s="264"/>
      <c r="Z199" s="391"/>
      <c r="AA199" s="392"/>
      <c r="AB199" s="392"/>
      <c r="AC199" s="393"/>
      <c r="AD199" s="392"/>
      <c r="AE199" s="394"/>
      <c r="AF199" s="394"/>
      <c r="AG199" s="394"/>
      <c r="AH199" s="394"/>
      <c r="AI199" s="393"/>
      <c r="AJ199" s="393"/>
      <c r="AK199" s="214"/>
      <c r="AL199" s="214"/>
      <c r="AM199" s="311"/>
      <c r="AN199" s="312"/>
      <c r="AO199" s="239"/>
      <c r="AP199" s="166">
        <v>0</v>
      </c>
      <c r="AQ199" s="167"/>
      <c r="AR199" s="168"/>
      <c r="AS199" s="169"/>
    </row>
    <row r="200" spans="1:50" ht="31.5" x14ac:dyDescent="0.2">
      <c r="A200" s="23" t="s">
        <v>919</v>
      </c>
      <c r="B200" s="24" t="s">
        <v>920</v>
      </c>
      <c r="C200" s="90">
        <f>14.168-1.141</f>
        <v>13.026999999999999</v>
      </c>
      <c r="D200" s="422">
        <f t="shared" si="10"/>
        <v>13.026999999999999</v>
      </c>
      <c r="E200" s="422">
        <f t="shared" si="11"/>
        <v>0</v>
      </c>
      <c r="F200" s="25" t="s">
        <v>68</v>
      </c>
      <c r="G200" s="26" t="s">
        <v>921</v>
      </c>
      <c r="H200" s="188"/>
      <c r="I200" s="327" t="s">
        <v>920</v>
      </c>
      <c r="J200" s="250">
        <v>13.026999999999999</v>
      </c>
      <c r="K200" s="29" t="s">
        <v>922</v>
      </c>
      <c r="L200" s="30">
        <v>6</v>
      </c>
      <c r="M200" s="30" t="s">
        <v>923</v>
      </c>
      <c r="N200" s="31">
        <v>14</v>
      </c>
      <c r="O200" s="31">
        <v>1</v>
      </c>
      <c r="P200" s="31">
        <v>1</v>
      </c>
      <c r="Q200" s="31">
        <v>0</v>
      </c>
      <c r="R200" s="30"/>
      <c r="S200" s="30"/>
      <c r="T200" s="208"/>
      <c r="U200" s="208"/>
      <c r="V200" s="263"/>
      <c r="W200" s="263"/>
      <c r="X200" s="263"/>
      <c r="Y200" s="264"/>
      <c r="Z200" s="299"/>
      <c r="AA200" s="32"/>
      <c r="AB200" s="32"/>
      <c r="AC200" s="35"/>
      <c r="AD200" s="32"/>
      <c r="AE200" s="34"/>
      <c r="AF200" s="34"/>
      <c r="AG200" s="34"/>
      <c r="AH200" s="34"/>
      <c r="AI200" s="35"/>
      <c r="AJ200" s="35"/>
      <c r="AK200" s="214"/>
      <c r="AL200" s="214"/>
      <c r="AM200" s="311"/>
      <c r="AN200" s="312"/>
      <c r="AO200" s="239"/>
      <c r="AP200" s="166">
        <v>13</v>
      </c>
      <c r="AQ200" s="167">
        <v>72</v>
      </c>
      <c r="AR200" s="168" t="s">
        <v>1</v>
      </c>
      <c r="AS200" s="169" t="s">
        <v>1</v>
      </c>
    </row>
    <row r="201" spans="1:50" ht="31.5" x14ac:dyDescent="0.2">
      <c r="A201" s="23" t="s">
        <v>924</v>
      </c>
      <c r="B201" s="24" t="s">
        <v>925</v>
      </c>
      <c r="C201" s="90">
        <f>2.971-0.532</f>
        <v>2.4390000000000001</v>
      </c>
      <c r="D201" s="422">
        <f t="shared" si="10"/>
        <v>2.4390000000000001</v>
      </c>
      <c r="E201" s="422">
        <f t="shared" si="11"/>
        <v>0</v>
      </c>
      <c r="F201" s="25" t="s">
        <v>68</v>
      </c>
      <c r="G201" s="26" t="s">
        <v>926</v>
      </c>
      <c r="H201" s="188"/>
      <c r="I201" s="326"/>
      <c r="J201" s="250">
        <v>2.4390000000000001</v>
      </c>
      <c r="K201" s="29" t="s">
        <v>927</v>
      </c>
      <c r="L201" s="30"/>
      <c r="M201" s="30"/>
      <c r="N201" s="31"/>
      <c r="O201" s="31"/>
      <c r="P201" s="31"/>
      <c r="Q201" s="31"/>
      <c r="R201" s="30"/>
      <c r="S201" s="30"/>
      <c r="T201" s="208"/>
      <c r="U201" s="208"/>
      <c r="V201" s="263"/>
      <c r="W201" s="263"/>
      <c r="X201" s="263"/>
      <c r="Y201" s="264"/>
      <c r="Z201" s="299"/>
      <c r="AA201" s="32"/>
      <c r="AB201" s="32"/>
      <c r="AC201" s="35"/>
      <c r="AD201" s="32"/>
      <c r="AE201" s="34"/>
      <c r="AF201" s="34"/>
      <c r="AG201" s="34"/>
      <c r="AH201" s="34"/>
      <c r="AI201" s="35"/>
      <c r="AJ201" s="35"/>
      <c r="AK201" s="214"/>
      <c r="AL201" s="214"/>
      <c r="AM201" s="311"/>
      <c r="AN201" s="312"/>
      <c r="AO201" s="239"/>
      <c r="AP201" s="166">
        <v>0</v>
      </c>
      <c r="AQ201" s="167">
        <v>7</v>
      </c>
      <c r="AR201" s="168" t="s">
        <v>1</v>
      </c>
      <c r="AS201" s="169" t="s">
        <v>1</v>
      </c>
    </row>
    <row r="202" spans="1:50" ht="31.5" x14ac:dyDescent="0.2">
      <c r="A202" s="23" t="s">
        <v>928</v>
      </c>
      <c r="B202" s="24" t="s">
        <v>929</v>
      </c>
      <c r="C202" s="90">
        <v>0.8</v>
      </c>
      <c r="D202" s="422">
        <f t="shared" si="10"/>
        <v>0.8</v>
      </c>
      <c r="E202" s="422">
        <f t="shared" si="11"/>
        <v>0</v>
      </c>
      <c r="F202" s="25" t="s">
        <v>68</v>
      </c>
      <c r="G202" s="26" t="s">
        <v>930</v>
      </c>
      <c r="H202" s="188"/>
      <c r="I202" s="327" t="s">
        <v>929</v>
      </c>
      <c r="J202" s="250">
        <v>0.8</v>
      </c>
      <c r="K202" s="29" t="s">
        <v>931</v>
      </c>
      <c r="L202" s="30"/>
      <c r="M202" s="30"/>
      <c r="N202" s="31"/>
      <c r="O202" s="31"/>
      <c r="P202" s="31"/>
      <c r="Q202" s="31"/>
      <c r="R202" s="30"/>
      <c r="S202" s="30"/>
      <c r="T202" s="208"/>
      <c r="U202" s="208"/>
      <c r="V202" s="263"/>
      <c r="W202" s="263"/>
      <c r="X202" s="263"/>
      <c r="Y202" s="264"/>
      <c r="Z202" s="299"/>
      <c r="AA202" s="32"/>
      <c r="AB202" s="32"/>
      <c r="AC202" s="35"/>
      <c r="AD202" s="32"/>
      <c r="AE202" s="34"/>
      <c r="AF202" s="34"/>
      <c r="AG202" s="34"/>
      <c r="AH202" s="34"/>
      <c r="AI202" s="35"/>
      <c r="AJ202" s="35"/>
      <c r="AK202" s="214"/>
      <c r="AL202" s="214"/>
      <c r="AM202" s="311"/>
      <c r="AN202" s="312"/>
      <c r="AO202" s="239"/>
      <c r="AP202" s="166">
        <v>0</v>
      </c>
      <c r="AQ202" s="167">
        <v>5</v>
      </c>
      <c r="AR202" s="168" t="s">
        <v>1</v>
      </c>
      <c r="AS202" s="169" t="s">
        <v>1</v>
      </c>
    </row>
    <row r="203" spans="1:50" s="2" customFormat="1" ht="21" x14ac:dyDescent="0.2">
      <c r="A203" s="23" t="s">
        <v>932</v>
      </c>
      <c r="B203" s="24" t="s">
        <v>933</v>
      </c>
      <c r="C203" s="90">
        <f>19.992-0.664</f>
        <v>19.327999999999999</v>
      </c>
      <c r="D203" s="422">
        <f t="shared" si="10"/>
        <v>19.327999999999999</v>
      </c>
      <c r="E203" s="422">
        <f t="shared" si="11"/>
        <v>0</v>
      </c>
      <c r="F203" s="90" t="s">
        <v>68</v>
      </c>
      <c r="G203" s="26" t="s">
        <v>934</v>
      </c>
      <c r="H203" s="188"/>
      <c r="I203" s="328"/>
      <c r="J203" s="250">
        <v>19.327999999999999</v>
      </c>
      <c r="K203" s="28" t="s">
        <v>935</v>
      </c>
      <c r="L203" s="46">
        <v>8.5</v>
      </c>
      <c r="M203" s="46" t="s">
        <v>936</v>
      </c>
      <c r="N203" s="47">
        <v>19</v>
      </c>
      <c r="O203" s="47">
        <v>6</v>
      </c>
      <c r="P203" s="47">
        <v>3</v>
      </c>
      <c r="Q203" s="47">
        <v>0</v>
      </c>
      <c r="R203" s="46"/>
      <c r="S203" s="46"/>
      <c r="T203" s="195"/>
      <c r="U203" s="195"/>
      <c r="V203" s="263"/>
      <c r="W203" s="263"/>
      <c r="X203" s="263"/>
      <c r="Y203" s="264"/>
      <c r="Z203" s="306"/>
      <c r="AA203" s="65"/>
      <c r="AB203" s="65"/>
      <c r="AC203" s="67"/>
      <c r="AD203" s="65"/>
      <c r="AE203" s="66"/>
      <c r="AF203" s="66"/>
      <c r="AG203" s="66"/>
      <c r="AH203" s="66"/>
      <c r="AI203" s="67"/>
      <c r="AJ203" s="67"/>
      <c r="AK203" s="217"/>
      <c r="AL203" s="217"/>
      <c r="AM203" s="311"/>
      <c r="AN203" s="312"/>
      <c r="AO203" s="239"/>
      <c r="AP203" s="166">
        <v>13</v>
      </c>
      <c r="AQ203" s="167">
        <v>126</v>
      </c>
      <c r="AR203" s="168" t="s">
        <v>1</v>
      </c>
      <c r="AS203" s="169" t="s">
        <v>1</v>
      </c>
      <c r="AT203" s="155"/>
      <c r="AU203" s="156"/>
      <c r="AV203" s="156"/>
      <c r="AW203" s="156"/>
      <c r="AX203" s="156"/>
    </row>
    <row r="204" spans="1:50" ht="21" x14ac:dyDescent="0.2">
      <c r="A204" s="23" t="s">
        <v>937</v>
      </c>
      <c r="B204" s="24" t="s">
        <v>938</v>
      </c>
      <c r="C204" s="90">
        <f>3.82-0.195</f>
        <v>3.625</v>
      </c>
      <c r="D204" s="422">
        <f t="shared" si="10"/>
        <v>3.625</v>
      </c>
      <c r="E204" s="422">
        <f t="shared" si="11"/>
        <v>0</v>
      </c>
      <c r="F204" s="25" t="s">
        <v>68</v>
      </c>
      <c r="G204" s="26" t="s">
        <v>939</v>
      </c>
      <c r="H204" s="188"/>
      <c r="I204" s="326"/>
      <c r="J204" s="250">
        <v>3.625</v>
      </c>
      <c r="K204" s="29" t="s">
        <v>940</v>
      </c>
      <c r="L204" s="30"/>
      <c r="M204" s="30"/>
      <c r="N204" s="31"/>
      <c r="O204" s="31"/>
      <c r="P204" s="31"/>
      <c r="Q204" s="31"/>
      <c r="R204" s="30"/>
      <c r="S204" s="30"/>
      <c r="T204" s="208"/>
      <c r="U204" s="208"/>
      <c r="V204" s="263"/>
      <c r="W204" s="263"/>
      <c r="X204" s="263"/>
      <c r="Y204" s="264"/>
      <c r="Z204" s="299"/>
      <c r="AA204" s="32"/>
      <c r="AB204" s="32"/>
      <c r="AC204" s="35"/>
      <c r="AD204" s="32"/>
      <c r="AE204" s="34"/>
      <c r="AF204" s="34"/>
      <c r="AG204" s="34"/>
      <c r="AH204" s="34"/>
      <c r="AI204" s="35"/>
      <c r="AJ204" s="35"/>
      <c r="AK204" s="214"/>
      <c r="AL204" s="214"/>
      <c r="AM204" s="311"/>
      <c r="AN204" s="312"/>
      <c r="AO204" s="239"/>
      <c r="AP204" s="166">
        <v>0</v>
      </c>
      <c r="AQ204" s="167">
        <v>23</v>
      </c>
      <c r="AR204" s="168" t="s">
        <v>1</v>
      </c>
      <c r="AS204" s="169" t="s">
        <v>1</v>
      </c>
    </row>
    <row r="205" spans="1:50" ht="21" x14ac:dyDescent="0.2">
      <c r="A205" s="23" t="s">
        <v>941</v>
      </c>
      <c r="B205" s="24" t="s">
        <v>942</v>
      </c>
      <c r="C205" s="90">
        <f>3.001-0.097</f>
        <v>2.9039999999999999</v>
      </c>
      <c r="D205" s="422">
        <f t="shared" si="10"/>
        <v>2.9039999999999999</v>
      </c>
      <c r="E205" s="422">
        <f t="shared" si="11"/>
        <v>0</v>
      </c>
      <c r="F205" s="25" t="s">
        <v>68</v>
      </c>
      <c r="G205" s="26" t="s">
        <v>943</v>
      </c>
      <c r="H205" s="188"/>
      <c r="I205" s="326"/>
      <c r="J205" s="250">
        <v>2.9039999999999999</v>
      </c>
      <c r="K205" s="29" t="s">
        <v>944</v>
      </c>
      <c r="L205" s="30"/>
      <c r="M205" s="30"/>
      <c r="N205" s="31"/>
      <c r="O205" s="31"/>
      <c r="P205" s="31"/>
      <c r="Q205" s="31"/>
      <c r="R205" s="30"/>
      <c r="S205" s="30"/>
      <c r="T205" s="208"/>
      <c r="U205" s="208"/>
      <c r="V205" s="263"/>
      <c r="W205" s="263"/>
      <c r="X205" s="263"/>
      <c r="Y205" s="264"/>
      <c r="Z205" s="376"/>
      <c r="AA205" s="373"/>
      <c r="AB205" s="373"/>
      <c r="AC205" s="374"/>
      <c r="AD205" s="373"/>
      <c r="AE205" s="375"/>
      <c r="AF205" s="375"/>
      <c r="AG205" s="375"/>
      <c r="AH205" s="375"/>
      <c r="AI205" s="374"/>
      <c r="AJ205" s="374"/>
      <c r="AK205" s="214"/>
      <c r="AL205" s="214"/>
      <c r="AM205" s="311"/>
      <c r="AN205" s="312"/>
      <c r="AO205" s="239"/>
      <c r="AP205" s="166">
        <v>11</v>
      </c>
      <c r="AQ205" s="167">
        <v>7</v>
      </c>
      <c r="AR205" s="168" t="s">
        <v>1</v>
      </c>
      <c r="AS205" s="169" t="s">
        <v>1</v>
      </c>
    </row>
    <row r="206" spans="1:50" ht="31.5" x14ac:dyDescent="0.2">
      <c r="A206" s="23" t="s">
        <v>945</v>
      </c>
      <c r="B206" s="24" t="s">
        <v>946</v>
      </c>
      <c r="C206" s="90">
        <f>29.155-0.305</f>
        <v>28.85</v>
      </c>
      <c r="D206" s="422">
        <f t="shared" si="10"/>
        <v>28.85</v>
      </c>
      <c r="E206" s="422">
        <f t="shared" si="11"/>
        <v>0</v>
      </c>
      <c r="F206" s="25" t="s">
        <v>627</v>
      </c>
      <c r="G206" s="26" t="s">
        <v>947</v>
      </c>
      <c r="H206" s="188" t="s">
        <v>947</v>
      </c>
      <c r="I206" s="326"/>
      <c r="J206" s="250">
        <v>16.155000000000001</v>
      </c>
      <c r="K206" s="29" t="s">
        <v>948</v>
      </c>
      <c r="L206" s="94"/>
      <c r="M206" s="30"/>
      <c r="N206" s="31"/>
      <c r="O206" s="31"/>
      <c r="P206" s="31"/>
      <c r="Q206" s="31"/>
      <c r="R206" s="30">
        <f>29.155-13</f>
        <v>16.155000000000001</v>
      </c>
      <c r="S206" s="30" t="s">
        <v>949</v>
      </c>
      <c r="T206" s="30"/>
      <c r="U206" s="30"/>
      <c r="V206" s="263"/>
      <c r="W206" s="263"/>
      <c r="X206" s="263"/>
      <c r="Y206" s="263"/>
      <c r="Z206" s="71">
        <f>13-0.305</f>
        <v>12.695</v>
      </c>
      <c r="AA206" s="79" t="s">
        <v>1796</v>
      </c>
      <c r="AB206" s="79">
        <v>0</v>
      </c>
      <c r="AC206" s="79">
        <v>13</v>
      </c>
      <c r="AD206" s="79">
        <v>0</v>
      </c>
      <c r="AE206" s="78">
        <v>93</v>
      </c>
      <c r="AF206" s="78">
        <v>0</v>
      </c>
      <c r="AG206" s="78">
        <v>17</v>
      </c>
      <c r="AH206" s="78">
        <v>0</v>
      </c>
      <c r="AI206" s="79">
        <v>0</v>
      </c>
      <c r="AJ206" s="78">
        <v>0</v>
      </c>
      <c r="AK206" s="79"/>
      <c r="AL206" s="79"/>
      <c r="AM206" s="311"/>
      <c r="AN206" s="312"/>
      <c r="AO206" s="239"/>
      <c r="AP206" s="166">
        <v>0</v>
      </c>
      <c r="AQ206" s="167">
        <v>0</v>
      </c>
      <c r="AR206" s="168" t="s">
        <v>144</v>
      </c>
      <c r="AS206" s="169" t="s">
        <v>33</v>
      </c>
      <c r="AT206" s="156"/>
    </row>
    <row r="207" spans="1:50" ht="31.5" x14ac:dyDescent="0.2">
      <c r="A207" s="23" t="s">
        <v>950</v>
      </c>
      <c r="B207" s="24" t="s">
        <v>951</v>
      </c>
      <c r="C207" s="90">
        <f>21.556-1.8</f>
        <v>19.756</v>
      </c>
      <c r="D207" s="422">
        <f t="shared" si="10"/>
        <v>19.756</v>
      </c>
      <c r="E207" s="422">
        <f t="shared" si="11"/>
        <v>0</v>
      </c>
      <c r="F207" s="25" t="s">
        <v>627</v>
      </c>
      <c r="G207" s="26" t="s">
        <v>952</v>
      </c>
      <c r="H207" s="188"/>
      <c r="I207" s="326"/>
      <c r="J207" s="252">
        <v>19.756</v>
      </c>
      <c r="K207" s="29" t="s">
        <v>953</v>
      </c>
      <c r="L207" s="94"/>
      <c r="M207" s="30"/>
      <c r="N207" s="30"/>
      <c r="O207" s="30"/>
      <c r="P207" s="30"/>
      <c r="Q207" s="30"/>
      <c r="R207" s="30">
        <f>21.556-1.8</f>
        <v>19.756</v>
      </c>
      <c r="S207" s="30" t="s">
        <v>954</v>
      </c>
      <c r="T207" s="30"/>
      <c r="U207" s="30"/>
      <c r="V207" s="263"/>
      <c r="W207" s="263"/>
      <c r="X207" s="263"/>
      <c r="Y207" s="263"/>
      <c r="Z207" s="27"/>
      <c r="AA207" s="33"/>
      <c r="AB207" s="69"/>
      <c r="AC207" s="69"/>
      <c r="AD207" s="33"/>
      <c r="AE207" s="37"/>
      <c r="AF207" s="37"/>
      <c r="AG207" s="37"/>
      <c r="AH207" s="37"/>
      <c r="AI207" s="69"/>
      <c r="AJ207" s="69"/>
      <c r="AK207" s="69"/>
      <c r="AL207" s="69"/>
      <c r="AM207" s="311"/>
      <c r="AN207" s="312"/>
      <c r="AO207" s="239"/>
      <c r="AP207" s="166">
        <v>0</v>
      </c>
      <c r="AQ207" s="167">
        <v>0</v>
      </c>
      <c r="AR207" s="168" t="s">
        <v>60</v>
      </c>
      <c r="AS207" s="169" t="s">
        <v>51</v>
      </c>
      <c r="AT207" s="156"/>
    </row>
    <row r="208" spans="1:50" ht="31.5" x14ac:dyDescent="0.2">
      <c r="A208" s="23" t="s">
        <v>955</v>
      </c>
      <c r="B208" s="24" t="s">
        <v>956</v>
      </c>
      <c r="C208" s="90">
        <f>46.769-29.97</f>
        <v>16.798999999999999</v>
      </c>
      <c r="D208" s="422">
        <f t="shared" si="10"/>
        <v>16.798999999999999</v>
      </c>
      <c r="E208" s="422">
        <f t="shared" si="11"/>
        <v>0</v>
      </c>
      <c r="F208" s="25" t="s">
        <v>627</v>
      </c>
      <c r="G208" s="26" t="s">
        <v>957</v>
      </c>
      <c r="H208" s="188"/>
      <c r="I208" s="326" t="s">
        <v>956</v>
      </c>
      <c r="J208" s="252">
        <v>16.798999999999999</v>
      </c>
      <c r="K208" s="29" t="s">
        <v>958</v>
      </c>
      <c r="L208" s="94"/>
      <c r="M208" s="30"/>
      <c r="N208" s="30"/>
      <c r="O208" s="30"/>
      <c r="P208" s="30"/>
      <c r="Q208" s="30"/>
      <c r="R208" s="30">
        <v>9.9</v>
      </c>
      <c r="S208" s="30" t="s">
        <v>958</v>
      </c>
      <c r="T208" s="30"/>
      <c r="U208" s="30"/>
      <c r="V208" s="263"/>
      <c r="W208" s="263"/>
      <c r="X208" s="263"/>
      <c r="Y208" s="263"/>
      <c r="Z208" s="27"/>
      <c r="AA208" s="33"/>
      <c r="AB208" s="69"/>
      <c r="AC208" s="69"/>
      <c r="AD208" s="33"/>
      <c r="AE208" s="37"/>
      <c r="AF208" s="37"/>
      <c r="AG208" s="37"/>
      <c r="AH208" s="37"/>
      <c r="AI208" s="69"/>
      <c r="AJ208" s="69"/>
      <c r="AK208" s="69"/>
      <c r="AL208" s="69"/>
      <c r="AM208" s="311"/>
      <c r="AN208" s="312"/>
      <c r="AO208" s="239"/>
      <c r="AP208" s="166">
        <v>0</v>
      </c>
      <c r="AQ208" s="167">
        <v>0</v>
      </c>
      <c r="AR208" s="168" t="s">
        <v>60</v>
      </c>
      <c r="AS208" s="169" t="s">
        <v>51</v>
      </c>
      <c r="AT208" s="156"/>
    </row>
    <row r="209" spans="1:52" ht="42" x14ac:dyDescent="0.2">
      <c r="A209" s="23" t="s">
        <v>959</v>
      </c>
      <c r="B209" s="24" t="s">
        <v>960</v>
      </c>
      <c r="C209" s="90">
        <f>92.774-24.454</f>
        <v>68.319999999999993</v>
      </c>
      <c r="D209" s="422">
        <f t="shared" si="10"/>
        <v>68.319999999999993</v>
      </c>
      <c r="E209" s="422">
        <f t="shared" si="11"/>
        <v>0</v>
      </c>
      <c r="F209" s="25" t="s">
        <v>627</v>
      </c>
      <c r="G209" s="38" t="s">
        <v>961</v>
      </c>
      <c r="H209" s="188"/>
      <c r="I209" s="326"/>
      <c r="J209" s="252">
        <v>68.319999999999993</v>
      </c>
      <c r="K209" s="29" t="s">
        <v>962</v>
      </c>
      <c r="L209" s="94">
        <f>21*0.5</f>
        <v>10.5</v>
      </c>
      <c r="M209" s="30" t="s">
        <v>963</v>
      </c>
      <c r="N209" s="30">
        <v>23</v>
      </c>
      <c r="O209" s="30"/>
      <c r="P209" s="30">
        <v>2</v>
      </c>
      <c r="Q209" s="30">
        <v>7</v>
      </c>
      <c r="R209" s="30">
        <f>27.38-24.454+92.774-90.26</f>
        <v>5.4399999999999977</v>
      </c>
      <c r="S209" s="30" t="s">
        <v>964</v>
      </c>
      <c r="T209" s="30"/>
      <c r="U209" s="30"/>
      <c r="V209" s="29">
        <v>68.319999999999993</v>
      </c>
      <c r="W209" s="29" t="s">
        <v>962</v>
      </c>
      <c r="X209" s="150"/>
      <c r="Y209" s="370" t="s">
        <v>962</v>
      </c>
      <c r="Z209" s="27"/>
      <c r="AA209" s="33"/>
      <c r="AB209" s="69"/>
      <c r="AC209" s="69"/>
      <c r="AD209" s="33"/>
      <c r="AE209" s="37"/>
      <c r="AF209" s="37"/>
      <c r="AG209" s="37"/>
      <c r="AH209" s="37"/>
      <c r="AI209" s="69"/>
      <c r="AJ209" s="69"/>
      <c r="AK209" s="69"/>
      <c r="AL209" s="69"/>
      <c r="AM209" s="372"/>
      <c r="AN209" s="300"/>
      <c r="AO209" s="239"/>
      <c r="AP209" s="166">
        <v>0</v>
      </c>
      <c r="AQ209" s="167">
        <v>0</v>
      </c>
      <c r="AR209" s="168" t="s">
        <v>60</v>
      </c>
      <c r="AS209" s="169" t="s">
        <v>51</v>
      </c>
      <c r="AT209" s="156"/>
    </row>
    <row r="210" spans="1:52" ht="31.5" x14ac:dyDescent="0.2">
      <c r="A210" s="23" t="s">
        <v>965</v>
      </c>
      <c r="B210" s="498" t="s">
        <v>966</v>
      </c>
      <c r="C210" s="499">
        <f>14.739-1.643</f>
        <v>13.096</v>
      </c>
      <c r="D210" s="497">
        <f t="shared" si="10"/>
        <v>13.096</v>
      </c>
      <c r="E210" s="497">
        <f t="shared" si="11"/>
        <v>0</v>
      </c>
      <c r="F210" s="25" t="s">
        <v>627</v>
      </c>
      <c r="G210" s="26" t="s">
        <v>967</v>
      </c>
      <c r="H210" s="188"/>
      <c r="I210" s="326"/>
      <c r="J210" s="252">
        <f>10.6-1.643</f>
        <v>8.956999999999999</v>
      </c>
      <c r="K210" s="29" t="s">
        <v>1797</v>
      </c>
      <c r="L210" s="93">
        <v>1.06</v>
      </c>
      <c r="M210" s="30" t="s">
        <v>968</v>
      </c>
      <c r="N210" s="30">
        <v>1</v>
      </c>
      <c r="O210" s="30"/>
      <c r="P210" s="30">
        <v>1</v>
      </c>
      <c r="Q210" s="30">
        <v>2</v>
      </c>
      <c r="R210" s="30">
        <f>2.54-1.643+14.739-6.603</f>
        <v>9.0330000000000013</v>
      </c>
      <c r="S210" s="30" t="s">
        <v>969</v>
      </c>
      <c r="T210" s="30"/>
      <c r="U210" s="30"/>
      <c r="V210" s="263"/>
      <c r="W210" s="263"/>
      <c r="X210" s="263"/>
      <c r="Y210" s="263"/>
      <c r="Z210" s="71">
        <v>4.1390000000000002</v>
      </c>
      <c r="AA210" s="71" t="s">
        <v>970</v>
      </c>
      <c r="AB210" s="79">
        <v>0</v>
      </c>
      <c r="AC210" s="79">
        <v>4</v>
      </c>
      <c r="AD210" s="98" t="s">
        <v>1778</v>
      </c>
      <c r="AE210" s="98"/>
      <c r="AF210" s="98"/>
      <c r="AG210" s="98"/>
      <c r="AH210" s="98"/>
      <c r="AI210" s="98"/>
      <c r="AJ210" s="98"/>
      <c r="AK210" s="98"/>
      <c r="AL210" s="98"/>
      <c r="AM210" s="311"/>
      <c r="AN210" s="312"/>
      <c r="AO210" s="239"/>
      <c r="AP210" s="166">
        <v>0</v>
      </c>
      <c r="AQ210" s="167">
        <v>0</v>
      </c>
      <c r="AR210" s="168" t="s">
        <v>60</v>
      </c>
      <c r="AS210" s="169" t="s">
        <v>51</v>
      </c>
      <c r="AT210" s="156"/>
    </row>
    <row r="211" spans="1:52" ht="42" x14ac:dyDescent="0.2">
      <c r="A211" s="23" t="s">
        <v>971</v>
      </c>
      <c r="B211" s="24" t="s">
        <v>972</v>
      </c>
      <c r="C211" s="90">
        <v>5.3479999999999999</v>
      </c>
      <c r="D211" s="422">
        <f t="shared" si="10"/>
        <v>5.3479999999999999</v>
      </c>
      <c r="E211" s="422">
        <f t="shared" si="11"/>
        <v>0</v>
      </c>
      <c r="F211" s="25" t="s">
        <v>627</v>
      </c>
      <c r="G211" s="26" t="s">
        <v>973</v>
      </c>
      <c r="H211" s="188"/>
      <c r="I211" s="326"/>
      <c r="J211" s="252">
        <v>5.3479999999999999</v>
      </c>
      <c r="K211" s="29" t="s">
        <v>974</v>
      </c>
      <c r="L211" s="94"/>
      <c r="M211" s="30"/>
      <c r="N211" s="30"/>
      <c r="O211" s="30"/>
      <c r="P211" s="30"/>
      <c r="Q211" s="30"/>
      <c r="R211" s="30">
        <v>2.7</v>
      </c>
      <c r="S211" s="30" t="s">
        <v>972</v>
      </c>
      <c r="T211" s="30"/>
      <c r="U211" s="30"/>
      <c r="V211" s="263"/>
      <c r="W211" s="263"/>
      <c r="X211" s="263"/>
      <c r="Y211" s="263"/>
      <c r="Z211" s="27"/>
      <c r="AA211" s="33"/>
      <c r="AB211" s="69"/>
      <c r="AC211" s="69"/>
      <c r="AD211" s="33"/>
      <c r="AE211" s="37"/>
      <c r="AF211" s="37"/>
      <c r="AG211" s="37"/>
      <c r="AH211" s="37"/>
      <c r="AI211" s="69"/>
      <c r="AJ211" s="69"/>
      <c r="AK211" s="69"/>
      <c r="AL211" s="69"/>
      <c r="AM211" s="311"/>
      <c r="AN211" s="312"/>
      <c r="AO211" s="239"/>
      <c r="AP211" s="166">
        <v>0</v>
      </c>
      <c r="AQ211" s="167">
        <v>0</v>
      </c>
      <c r="AR211" s="168" t="s">
        <v>60</v>
      </c>
      <c r="AS211" s="169" t="s">
        <v>51</v>
      </c>
      <c r="AT211" s="156"/>
    </row>
    <row r="212" spans="1:52" ht="21" x14ac:dyDescent="0.2">
      <c r="A212" s="23" t="s">
        <v>975</v>
      </c>
      <c r="B212" s="24" t="s">
        <v>976</v>
      </c>
      <c r="C212" s="90">
        <f>23.984-0.969</f>
        <v>23.015000000000001</v>
      </c>
      <c r="D212" s="422">
        <f t="shared" si="10"/>
        <v>23.015000000000001</v>
      </c>
      <c r="E212" s="422">
        <f t="shared" si="11"/>
        <v>0</v>
      </c>
      <c r="F212" s="25" t="s">
        <v>627</v>
      </c>
      <c r="G212" s="26" t="s">
        <v>977</v>
      </c>
      <c r="H212" s="188"/>
      <c r="I212" s="326"/>
      <c r="J212" s="252">
        <v>23.015000000000001</v>
      </c>
      <c r="K212" s="29" t="s">
        <v>978</v>
      </c>
      <c r="L212" s="94"/>
      <c r="M212" s="30"/>
      <c r="N212" s="30"/>
      <c r="O212" s="30"/>
      <c r="P212" s="30"/>
      <c r="Q212" s="30"/>
      <c r="R212" s="30">
        <v>12</v>
      </c>
      <c r="S212" s="30" t="s">
        <v>978</v>
      </c>
      <c r="T212" s="30"/>
      <c r="U212" s="30"/>
      <c r="V212" s="263"/>
      <c r="W212" s="263"/>
      <c r="X212" s="263"/>
      <c r="Y212" s="263"/>
      <c r="Z212" s="27"/>
      <c r="AA212" s="33"/>
      <c r="AB212" s="69"/>
      <c r="AC212" s="69"/>
      <c r="AD212" s="33"/>
      <c r="AE212" s="37"/>
      <c r="AF212" s="37"/>
      <c r="AG212" s="37"/>
      <c r="AH212" s="37"/>
      <c r="AI212" s="69"/>
      <c r="AJ212" s="69"/>
      <c r="AK212" s="69"/>
      <c r="AL212" s="69"/>
      <c r="AM212" s="311"/>
      <c r="AN212" s="312"/>
      <c r="AO212" s="239"/>
      <c r="AP212" s="166">
        <v>0</v>
      </c>
      <c r="AQ212" s="167">
        <v>0</v>
      </c>
      <c r="AR212" s="168" t="s">
        <v>60</v>
      </c>
      <c r="AS212" s="169" t="s">
        <v>51</v>
      </c>
      <c r="AT212" s="156"/>
    </row>
    <row r="213" spans="1:52" ht="31.5" x14ac:dyDescent="0.2">
      <c r="A213" s="23" t="s">
        <v>979</v>
      </c>
      <c r="B213" s="24" t="s">
        <v>980</v>
      </c>
      <c r="C213" s="90">
        <f>13.32-0.286</f>
        <v>13.034000000000001</v>
      </c>
      <c r="D213" s="422">
        <f t="shared" si="10"/>
        <v>13.034000000000001</v>
      </c>
      <c r="E213" s="422">
        <f t="shared" si="11"/>
        <v>0</v>
      </c>
      <c r="F213" s="25" t="s">
        <v>627</v>
      </c>
      <c r="G213" s="38" t="s">
        <v>981</v>
      </c>
      <c r="H213" s="188"/>
      <c r="I213" s="326" t="s">
        <v>980</v>
      </c>
      <c r="J213" s="252">
        <v>13.034000000000001</v>
      </c>
      <c r="K213" s="29" t="s">
        <v>982</v>
      </c>
      <c r="L213" s="94"/>
      <c r="M213" s="30"/>
      <c r="N213" s="30"/>
      <c r="O213" s="30"/>
      <c r="P213" s="30"/>
      <c r="Q213" s="30"/>
      <c r="R213" s="30">
        <v>12.5</v>
      </c>
      <c r="S213" s="30" t="s">
        <v>982</v>
      </c>
      <c r="T213" s="30"/>
      <c r="U213" s="30"/>
      <c r="V213" s="29">
        <v>13.034000000000001</v>
      </c>
      <c r="W213" s="29" t="s">
        <v>982</v>
      </c>
      <c r="X213" s="150"/>
      <c r="Y213" s="370" t="s">
        <v>982</v>
      </c>
      <c r="Z213" s="27"/>
      <c r="AA213" s="33"/>
      <c r="AB213" s="69"/>
      <c r="AC213" s="69"/>
      <c r="AD213" s="33"/>
      <c r="AE213" s="37"/>
      <c r="AF213" s="37"/>
      <c r="AG213" s="37"/>
      <c r="AH213" s="37"/>
      <c r="AI213" s="69"/>
      <c r="AJ213" s="69"/>
      <c r="AK213" s="69"/>
      <c r="AL213" s="69"/>
      <c r="AM213" s="372"/>
      <c r="AN213" s="300"/>
      <c r="AO213" s="239"/>
      <c r="AP213" s="166">
        <v>0</v>
      </c>
      <c r="AQ213" s="167">
        <v>0</v>
      </c>
      <c r="AR213" s="168" t="s">
        <v>60</v>
      </c>
      <c r="AS213" s="169" t="s">
        <v>51</v>
      </c>
      <c r="AT213" s="156"/>
    </row>
    <row r="214" spans="1:52" ht="42" x14ac:dyDescent="0.2">
      <c r="A214" s="23" t="s">
        <v>983</v>
      </c>
      <c r="B214" s="24" t="s">
        <v>984</v>
      </c>
      <c r="C214" s="90">
        <f>84.835-23.144</f>
        <v>61.690999999999995</v>
      </c>
      <c r="D214" s="422">
        <f t="shared" si="10"/>
        <v>61.691000000000003</v>
      </c>
      <c r="E214" s="422">
        <f t="shared" si="11"/>
        <v>0</v>
      </c>
      <c r="F214" s="25" t="s">
        <v>627</v>
      </c>
      <c r="G214" s="26" t="s">
        <v>985</v>
      </c>
      <c r="H214" s="188"/>
      <c r="I214" s="326"/>
      <c r="J214" s="252">
        <v>61.691000000000003</v>
      </c>
      <c r="K214" s="29" t="s">
        <v>986</v>
      </c>
      <c r="L214" s="94"/>
      <c r="M214" s="30"/>
      <c r="N214" s="30"/>
      <c r="O214" s="30"/>
      <c r="P214" s="30"/>
      <c r="Q214" s="30"/>
      <c r="R214" s="30">
        <v>31</v>
      </c>
      <c r="S214" s="30" t="s">
        <v>986</v>
      </c>
      <c r="T214" s="30"/>
      <c r="U214" s="30"/>
      <c r="V214" s="263"/>
      <c r="W214" s="263"/>
      <c r="X214" s="263"/>
      <c r="Y214" s="263"/>
      <c r="Z214" s="27"/>
      <c r="AA214" s="33"/>
      <c r="AB214" s="69"/>
      <c r="AC214" s="69"/>
      <c r="AD214" s="33"/>
      <c r="AE214" s="37"/>
      <c r="AF214" s="37"/>
      <c r="AG214" s="37"/>
      <c r="AH214" s="37"/>
      <c r="AI214" s="69"/>
      <c r="AJ214" s="69"/>
      <c r="AK214" s="69"/>
      <c r="AL214" s="69"/>
      <c r="AM214" s="311"/>
      <c r="AN214" s="312"/>
      <c r="AO214" s="239"/>
      <c r="AP214" s="166">
        <v>0</v>
      </c>
      <c r="AQ214" s="167">
        <v>0</v>
      </c>
      <c r="AR214" s="168" t="s">
        <v>60</v>
      </c>
      <c r="AS214" s="169" t="s">
        <v>33</v>
      </c>
      <c r="AT214" s="156"/>
    </row>
    <row r="215" spans="1:52" s="116" customFormat="1" ht="94.5" x14ac:dyDescent="0.2">
      <c r="A215" s="110" t="s">
        <v>987</v>
      </c>
      <c r="B215" s="111" t="s">
        <v>988</v>
      </c>
      <c r="C215" s="420">
        <f>91.692-0.538</f>
        <v>91.153999999999996</v>
      </c>
      <c r="D215" s="422">
        <f t="shared" si="10"/>
        <v>91.153999999999996</v>
      </c>
      <c r="E215" s="422">
        <f t="shared" si="11"/>
        <v>0</v>
      </c>
      <c r="F215" s="112" t="s">
        <v>989</v>
      </c>
      <c r="G215" s="113" t="s">
        <v>990</v>
      </c>
      <c r="H215" s="189" t="s">
        <v>991</v>
      </c>
      <c r="I215" s="329"/>
      <c r="J215" s="250">
        <v>62.869</v>
      </c>
      <c r="K215" s="40" t="s">
        <v>1655</v>
      </c>
      <c r="L215" s="58"/>
      <c r="M215" s="57"/>
      <c r="N215" s="58"/>
      <c r="O215" s="58"/>
      <c r="P215" s="58"/>
      <c r="Q215" s="58"/>
      <c r="R215" s="57">
        <v>26.259</v>
      </c>
      <c r="S215" s="58" t="s">
        <v>1762</v>
      </c>
      <c r="T215" s="57"/>
      <c r="U215" s="57"/>
      <c r="V215" s="28">
        <v>10.35</v>
      </c>
      <c r="W215" s="40" t="s">
        <v>992</v>
      </c>
      <c r="X215" s="149"/>
      <c r="Y215" s="408" t="s">
        <v>992</v>
      </c>
      <c r="Z215" s="114">
        <v>28.285</v>
      </c>
      <c r="AA215" s="72" t="s">
        <v>1656</v>
      </c>
      <c r="AB215" s="72"/>
      <c r="AC215" s="73"/>
      <c r="AD215" s="72"/>
      <c r="AE215" s="73"/>
      <c r="AF215" s="73"/>
      <c r="AG215" s="73"/>
      <c r="AH215" s="73"/>
      <c r="AI215" s="74">
        <v>28.3</v>
      </c>
      <c r="AJ215" s="74"/>
      <c r="AK215" s="74"/>
      <c r="AL215" s="74"/>
      <c r="AM215" s="410">
        <f>28.285+52.519</f>
        <v>80.804000000000002</v>
      </c>
      <c r="AN215" s="206" t="s">
        <v>1627</v>
      </c>
      <c r="AO215" s="239"/>
      <c r="AP215" s="166">
        <v>0</v>
      </c>
      <c r="AQ215" s="177">
        <v>540</v>
      </c>
      <c r="AR215" s="168" t="s">
        <v>993</v>
      </c>
      <c r="AS215" s="169" t="s">
        <v>33</v>
      </c>
      <c r="AT215" s="178"/>
      <c r="AU215" s="178"/>
      <c r="AV215" s="178"/>
      <c r="AW215" s="178"/>
      <c r="AX215" s="178"/>
    </row>
    <row r="216" spans="1:52" ht="52.5" x14ac:dyDescent="0.2">
      <c r="A216" s="23" t="s">
        <v>994</v>
      </c>
      <c r="B216" s="24" t="s">
        <v>995</v>
      </c>
      <c r="C216" s="90">
        <f>21.84-2.047</f>
        <v>19.792999999999999</v>
      </c>
      <c r="D216" s="422">
        <f t="shared" si="10"/>
        <v>19.792999999999999</v>
      </c>
      <c r="E216" s="422">
        <f t="shared" si="11"/>
        <v>0</v>
      </c>
      <c r="F216" s="25" t="s">
        <v>627</v>
      </c>
      <c r="G216" s="11" t="s">
        <v>1761</v>
      </c>
      <c r="H216" s="188" t="s">
        <v>996</v>
      </c>
      <c r="I216" s="326" t="s">
        <v>995</v>
      </c>
      <c r="J216" s="257"/>
      <c r="K216" s="27"/>
      <c r="L216" s="95"/>
      <c r="M216" s="80"/>
      <c r="N216" s="81"/>
      <c r="O216" s="81"/>
      <c r="P216" s="81"/>
      <c r="Q216" s="81"/>
      <c r="R216" s="95"/>
      <c r="S216" s="80"/>
      <c r="T216" s="214"/>
      <c r="U216" s="214"/>
      <c r="V216" s="263"/>
      <c r="W216" s="263"/>
      <c r="X216" s="263"/>
      <c r="Y216" s="263"/>
      <c r="Z216" s="71">
        <v>19.792999999999999</v>
      </c>
      <c r="AA216" s="71" t="s">
        <v>997</v>
      </c>
      <c r="AB216" s="79">
        <v>0</v>
      </c>
      <c r="AC216" s="79"/>
      <c r="AD216" s="73"/>
      <c r="AE216" s="73"/>
      <c r="AF216" s="73"/>
      <c r="AG216" s="73"/>
      <c r="AH216" s="73"/>
      <c r="AI216" s="73">
        <v>10</v>
      </c>
      <c r="AJ216" s="73" t="s">
        <v>997</v>
      </c>
      <c r="AK216" s="73"/>
      <c r="AL216" s="73"/>
      <c r="AM216" s="311"/>
      <c r="AN216" s="312"/>
      <c r="AO216" s="239"/>
      <c r="AP216" s="166">
        <v>0</v>
      </c>
      <c r="AQ216" s="167">
        <v>0</v>
      </c>
      <c r="AR216" s="168" t="s">
        <v>60</v>
      </c>
      <c r="AS216" s="169" t="s">
        <v>51</v>
      </c>
      <c r="AT216" s="156"/>
    </row>
    <row r="217" spans="1:52" ht="31.5" x14ac:dyDescent="0.2">
      <c r="A217" s="23" t="s">
        <v>998</v>
      </c>
      <c r="B217" s="24" t="s">
        <v>999</v>
      </c>
      <c r="C217" s="90">
        <f>1.114-0.622</f>
        <v>0.4920000000000001</v>
      </c>
      <c r="D217" s="422">
        <f t="shared" si="10"/>
        <v>0.4920000000000001</v>
      </c>
      <c r="E217" s="422">
        <f t="shared" si="11"/>
        <v>0</v>
      </c>
      <c r="F217" s="25" t="s">
        <v>627</v>
      </c>
      <c r="G217" s="26" t="s">
        <v>1000</v>
      </c>
      <c r="H217" s="188"/>
      <c r="I217" s="326"/>
      <c r="J217" s="252">
        <v>0.4920000000000001</v>
      </c>
      <c r="K217" s="29" t="s">
        <v>1001</v>
      </c>
      <c r="L217" s="94"/>
      <c r="M217" s="30"/>
      <c r="N217" s="31"/>
      <c r="O217" s="31"/>
      <c r="P217" s="31"/>
      <c r="Q217" s="31"/>
      <c r="R217" s="94"/>
      <c r="S217" s="30"/>
      <c r="T217" s="212"/>
      <c r="U217" s="212"/>
      <c r="V217" s="263"/>
      <c r="W217" s="263"/>
      <c r="X217" s="263"/>
      <c r="Y217" s="263"/>
      <c r="Z217" s="27"/>
      <c r="AA217" s="33"/>
      <c r="AB217" s="69"/>
      <c r="AC217" s="69"/>
      <c r="AD217" s="33"/>
      <c r="AE217" s="37"/>
      <c r="AF217" s="37"/>
      <c r="AG217" s="37"/>
      <c r="AH217" s="37"/>
      <c r="AI217" s="69"/>
      <c r="AJ217" s="69"/>
      <c r="AK217" s="69"/>
      <c r="AL217" s="69"/>
      <c r="AM217" s="311"/>
      <c r="AN217" s="312"/>
      <c r="AO217" s="239"/>
      <c r="AP217" s="166">
        <v>0</v>
      </c>
      <c r="AQ217" s="167">
        <v>0</v>
      </c>
      <c r="AR217" s="168" t="s">
        <v>60</v>
      </c>
      <c r="AS217" s="169" t="s">
        <v>51</v>
      </c>
      <c r="AT217" s="156"/>
    </row>
    <row r="218" spans="1:52" ht="42" x14ac:dyDescent="0.2">
      <c r="A218" s="23" t="s">
        <v>1002</v>
      </c>
      <c r="B218" s="24" t="s">
        <v>1003</v>
      </c>
      <c r="C218" s="90">
        <f>2.047-1.337</f>
        <v>0.71000000000000019</v>
      </c>
      <c r="D218" s="422">
        <f t="shared" si="10"/>
        <v>0.71000000000000019</v>
      </c>
      <c r="E218" s="422">
        <f t="shared" si="11"/>
        <v>0</v>
      </c>
      <c r="F218" s="25" t="s">
        <v>627</v>
      </c>
      <c r="G218" s="26" t="s">
        <v>1004</v>
      </c>
      <c r="H218" s="188"/>
      <c r="I218" s="326" t="s">
        <v>1003</v>
      </c>
      <c r="J218" s="257"/>
      <c r="K218" s="27"/>
      <c r="L218" s="69"/>
      <c r="M218" s="27"/>
      <c r="N218" s="37"/>
      <c r="O218" s="37"/>
      <c r="P218" s="37"/>
      <c r="Q218" s="37"/>
      <c r="R218" s="69"/>
      <c r="S218" s="27"/>
      <c r="T218" s="214"/>
      <c r="U218" s="214"/>
      <c r="V218" s="263"/>
      <c r="W218" s="263"/>
      <c r="X218" s="263"/>
      <c r="Y218" s="263"/>
      <c r="Z218" s="71">
        <v>0.71000000000000019</v>
      </c>
      <c r="AA218" s="71" t="s">
        <v>1005</v>
      </c>
      <c r="AB218" s="79">
        <v>0</v>
      </c>
      <c r="AC218" s="79"/>
      <c r="AD218" s="79"/>
      <c r="AE218" s="79"/>
      <c r="AF218" s="79"/>
      <c r="AG218" s="79"/>
      <c r="AH218" s="79"/>
      <c r="AI218" s="79">
        <f>2.047-1.337</f>
        <v>0.71000000000000019</v>
      </c>
      <c r="AJ218" s="79" t="s">
        <v>1766</v>
      </c>
      <c r="AK218" s="79"/>
      <c r="AL218" s="79"/>
      <c r="AM218" s="311"/>
      <c r="AN218" s="312"/>
      <c r="AO218" s="239"/>
      <c r="AP218" s="166">
        <v>0</v>
      </c>
      <c r="AQ218" s="167">
        <v>0</v>
      </c>
      <c r="AR218" s="168" t="s">
        <v>60</v>
      </c>
      <c r="AS218" s="169" t="s">
        <v>51</v>
      </c>
      <c r="AT218" s="156"/>
    </row>
    <row r="219" spans="1:52" ht="31.5" x14ac:dyDescent="0.2">
      <c r="A219" s="23" t="s">
        <v>1006</v>
      </c>
      <c r="B219" s="24" t="s">
        <v>1007</v>
      </c>
      <c r="C219" s="90">
        <f>34.447-0.638</f>
        <v>33.809000000000005</v>
      </c>
      <c r="D219" s="422">
        <f t="shared" si="10"/>
        <v>33.809000000000005</v>
      </c>
      <c r="E219" s="422">
        <f t="shared" si="11"/>
        <v>0</v>
      </c>
      <c r="F219" s="25" t="s">
        <v>627</v>
      </c>
      <c r="G219" s="26" t="s">
        <v>1008</v>
      </c>
      <c r="H219" s="188"/>
      <c r="I219" s="326"/>
      <c r="J219" s="252">
        <v>33.809000000000005</v>
      </c>
      <c r="K219" s="29" t="s">
        <v>1009</v>
      </c>
      <c r="L219" s="94"/>
      <c r="M219" s="94"/>
      <c r="N219" s="94"/>
      <c r="O219" s="94"/>
      <c r="P219" s="94"/>
      <c r="Q219" s="94"/>
      <c r="R219" s="94">
        <f>34.447-0.638</f>
        <v>33.809000000000005</v>
      </c>
      <c r="S219" s="94" t="s">
        <v>1009</v>
      </c>
      <c r="T219" s="94"/>
      <c r="U219" s="94"/>
      <c r="V219" s="263"/>
      <c r="W219" s="263"/>
      <c r="X219" s="263"/>
      <c r="Y219" s="263"/>
      <c r="Z219" s="27"/>
      <c r="AA219" s="33"/>
      <c r="AB219" s="69"/>
      <c r="AC219" s="69"/>
      <c r="AD219" s="33"/>
      <c r="AE219" s="37"/>
      <c r="AF219" s="37"/>
      <c r="AG219" s="37"/>
      <c r="AH219" s="37"/>
      <c r="AI219" s="69"/>
      <c r="AJ219" s="69"/>
      <c r="AK219" s="69"/>
      <c r="AL219" s="69"/>
      <c r="AM219" s="311"/>
      <c r="AN219" s="312"/>
      <c r="AO219" s="239"/>
      <c r="AP219" s="166">
        <v>0</v>
      </c>
      <c r="AQ219" s="167">
        <v>0</v>
      </c>
      <c r="AR219" s="168" t="s">
        <v>60</v>
      </c>
      <c r="AS219" s="169" t="s">
        <v>51</v>
      </c>
      <c r="AT219" s="156"/>
    </row>
    <row r="220" spans="1:52" ht="31.5" x14ac:dyDescent="0.2">
      <c r="A220" s="367" t="s">
        <v>1010</v>
      </c>
      <c r="B220" s="24" t="s">
        <v>1011</v>
      </c>
      <c r="C220" s="90">
        <f>11.11-0.033</f>
        <v>11.077</v>
      </c>
      <c r="D220" s="422">
        <f t="shared" si="10"/>
        <v>11.077</v>
      </c>
      <c r="E220" s="422">
        <f t="shared" si="11"/>
        <v>0</v>
      </c>
      <c r="F220" s="25" t="s">
        <v>627</v>
      </c>
      <c r="G220" s="11"/>
      <c r="H220" s="188" t="s">
        <v>1012</v>
      </c>
      <c r="I220" s="326"/>
      <c r="J220" s="257"/>
      <c r="K220" s="27"/>
      <c r="L220" s="95"/>
      <c r="M220" s="80"/>
      <c r="N220" s="81"/>
      <c r="O220" s="81"/>
      <c r="P220" s="81"/>
      <c r="Q220" s="81"/>
      <c r="R220" s="95"/>
      <c r="S220" s="80"/>
      <c r="T220" s="214"/>
      <c r="U220" s="214"/>
      <c r="V220" s="263"/>
      <c r="W220" s="263"/>
      <c r="X220" s="263"/>
      <c r="Y220" s="263"/>
      <c r="Z220" s="71">
        <v>11.077</v>
      </c>
      <c r="AA220" s="71" t="s">
        <v>1013</v>
      </c>
      <c r="AB220" s="79"/>
      <c r="AC220" s="79">
        <v>11.1</v>
      </c>
      <c r="AD220" s="79" t="s">
        <v>1014</v>
      </c>
      <c r="AE220" s="79">
        <v>53</v>
      </c>
      <c r="AF220" s="79"/>
      <c r="AG220" s="79">
        <v>18</v>
      </c>
      <c r="AH220" s="79"/>
      <c r="AI220" s="79"/>
      <c r="AJ220" s="79"/>
      <c r="AK220" s="79"/>
      <c r="AL220" s="79"/>
      <c r="AM220" s="311"/>
      <c r="AN220" s="312"/>
      <c r="AO220" s="239"/>
      <c r="AP220" s="166">
        <v>0</v>
      </c>
      <c r="AQ220" s="167">
        <v>0</v>
      </c>
      <c r="AR220" s="168" t="s">
        <v>60</v>
      </c>
      <c r="AS220" s="169" t="s">
        <v>51</v>
      </c>
      <c r="AT220" s="156"/>
    </row>
    <row r="221" spans="1:52" ht="31.5" x14ac:dyDescent="0.2">
      <c r="A221" s="23" t="s">
        <v>1015</v>
      </c>
      <c r="B221" s="24" t="s">
        <v>1016</v>
      </c>
      <c r="C221" s="90">
        <f>62.089-0.222</f>
        <v>61.866999999999997</v>
      </c>
      <c r="D221" s="422">
        <f t="shared" si="10"/>
        <v>61.866999999999997</v>
      </c>
      <c r="E221" s="422">
        <f t="shared" si="11"/>
        <v>0</v>
      </c>
      <c r="F221" s="25" t="s">
        <v>627</v>
      </c>
      <c r="G221" s="38" t="s">
        <v>1017</v>
      </c>
      <c r="H221" s="188"/>
      <c r="I221" s="326"/>
      <c r="J221" s="250">
        <f>62.089-0.222</f>
        <v>61.866999999999997</v>
      </c>
      <c r="K221" s="29" t="s">
        <v>1798</v>
      </c>
      <c r="L221" s="94">
        <v>8</v>
      </c>
      <c r="M221" s="30" t="s">
        <v>1019</v>
      </c>
      <c r="N221" s="31">
        <v>28</v>
      </c>
      <c r="O221" s="31"/>
      <c r="P221" s="31">
        <v>35</v>
      </c>
      <c r="Q221" s="31">
        <v>35</v>
      </c>
      <c r="R221" s="94">
        <v>54</v>
      </c>
      <c r="S221" s="30" t="s">
        <v>1777</v>
      </c>
      <c r="T221" s="94"/>
      <c r="U221" s="94"/>
      <c r="V221" s="28">
        <v>62</v>
      </c>
      <c r="W221" s="29" t="s">
        <v>1018</v>
      </c>
      <c r="X221" s="149"/>
      <c r="Y221" s="370" t="s">
        <v>1018</v>
      </c>
      <c r="Z221" s="27"/>
      <c r="AA221" s="33"/>
      <c r="AB221" s="69"/>
      <c r="AC221" s="69"/>
      <c r="AD221" s="33"/>
      <c r="AE221" s="37"/>
      <c r="AF221" s="37"/>
      <c r="AG221" s="37"/>
      <c r="AH221" s="37"/>
      <c r="AI221" s="69"/>
      <c r="AJ221" s="69"/>
      <c r="AK221" s="69"/>
      <c r="AL221" s="69"/>
      <c r="AM221" s="372"/>
      <c r="AN221" s="300"/>
      <c r="AO221" s="239"/>
      <c r="AP221" s="166">
        <v>63</v>
      </c>
      <c r="AQ221" s="167">
        <v>321</v>
      </c>
      <c r="AR221" s="168" t="s">
        <v>144</v>
      </c>
      <c r="AS221" s="169" t="s">
        <v>33</v>
      </c>
      <c r="AT221" s="156"/>
    </row>
    <row r="222" spans="1:52" ht="21" x14ac:dyDescent="0.2">
      <c r="A222" s="23" t="s">
        <v>1020</v>
      </c>
      <c r="B222" s="24" t="s">
        <v>1021</v>
      </c>
      <c r="C222" s="90">
        <f>2.453-0.139</f>
        <v>2.3140000000000001</v>
      </c>
      <c r="D222" s="422">
        <f t="shared" si="10"/>
        <v>2.3140000000000001</v>
      </c>
      <c r="E222" s="422">
        <f t="shared" si="11"/>
        <v>0</v>
      </c>
      <c r="F222" s="25" t="s">
        <v>627</v>
      </c>
      <c r="G222" s="26" t="s">
        <v>1022</v>
      </c>
      <c r="H222" s="188"/>
      <c r="I222" s="326"/>
      <c r="J222" s="252">
        <v>2.3140000000000001</v>
      </c>
      <c r="K222" s="29" t="s">
        <v>1023</v>
      </c>
      <c r="L222" s="94"/>
      <c r="M222" s="94"/>
      <c r="N222" s="94"/>
      <c r="O222" s="94"/>
      <c r="P222" s="94"/>
      <c r="Q222" s="94"/>
      <c r="R222" s="94">
        <v>1.2</v>
      </c>
      <c r="S222" s="94" t="s">
        <v>1023</v>
      </c>
      <c r="T222" s="94"/>
      <c r="U222" s="94"/>
      <c r="V222" s="28"/>
      <c r="W222" s="29"/>
      <c r="X222" s="149"/>
      <c r="Y222" s="370"/>
      <c r="Z222" s="27"/>
      <c r="AA222" s="33"/>
      <c r="AB222" s="69"/>
      <c r="AC222" s="69"/>
      <c r="AD222" s="33"/>
      <c r="AE222" s="37"/>
      <c r="AF222" s="37"/>
      <c r="AG222" s="37"/>
      <c r="AH222" s="37"/>
      <c r="AI222" s="69"/>
      <c r="AJ222" s="69"/>
      <c r="AK222" s="69"/>
      <c r="AL222" s="69"/>
      <c r="AM222" s="372"/>
      <c r="AN222" s="300"/>
      <c r="AO222" s="239"/>
      <c r="AP222" s="166">
        <v>0</v>
      </c>
      <c r="AQ222" s="167"/>
      <c r="AR222" s="168" t="s">
        <v>60</v>
      </c>
      <c r="AS222" s="169" t="s">
        <v>51</v>
      </c>
      <c r="AT222" s="156"/>
    </row>
    <row r="223" spans="1:52" ht="31.5" x14ac:dyDescent="0.2">
      <c r="A223" s="23" t="s">
        <v>1024</v>
      </c>
      <c r="B223" s="498" t="s">
        <v>1025</v>
      </c>
      <c r="C223" s="499">
        <f>16.824-0.148</f>
        <v>16.676000000000002</v>
      </c>
      <c r="D223" s="497">
        <f t="shared" si="10"/>
        <v>16.676000000000002</v>
      </c>
      <c r="E223" s="497">
        <f t="shared" si="11"/>
        <v>0</v>
      </c>
      <c r="F223" s="100" t="s">
        <v>36</v>
      </c>
      <c r="G223" s="26" t="s">
        <v>1026</v>
      </c>
      <c r="H223" s="188"/>
      <c r="I223" s="326"/>
      <c r="J223" s="250">
        <v>13.076000000000001</v>
      </c>
      <c r="K223" s="40" t="s">
        <v>1810</v>
      </c>
      <c r="L223" s="41"/>
      <c r="M223" s="41"/>
      <c r="N223" s="42"/>
      <c r="O223" s="42"/>
      <c r="P223" s="42"/>
      <c r="Q223" s="42"/>
      <c r="R223" s="41">
        <v>9</v>
      </c>
      <c r="S223" s="41"/>
      <c r="T223" s="41"/>
      <c r="U223" s="483"/>
      <c r="V223" s="250">
        <v>13.076000000000001</v>
      </c>
      <c r="W223" s="40" t="s">
        <v>1810</v>
      </c>
      <c r="X223" s="149"/>
      <c r="Y223" s="249"/>
      <c r="Z223" s="309">
        <v>3.6</v>
      </c>
      <c r="AA223" s="83" t="s">
        <v>1027</v>
      </c>
      <c r="AB223" s="83"/>
      <c r="AC223" s="84"/>
      <c r="AD223" s="83"/>
      <c r="AE223" s="85"/>
      <c r="AF223" s="85"/>
      <c r="AG223" s="85"/>
      <c r="AH223" s="85"/>
      <c r="AI223" s="84">
        <v>3.6</v>
      </c>
      <c r="AJ223" s="84"/>
      <c r="AK223" s="84"/>
      <c r="AL223" s="84"/>
      <c r="AM223" s="203"/>
      <c r="AN223" s="300"/>
      <c r="AO223" s="239"/>
      <c r="AP223" s="166">
        <v>0</v>
      </c>
      <c r="AQ223" s="167">
        <v>99</v>
      </c>
      <c r="AR223" s="168" t="s">
        <v>1</v>
      </c>
      <c r="AS223" s="169" t="s">
        <v>1</v>
      </c>
      <c r="AT223" s="156"/>
    </row>
    <row r="224" spans="1:52" ht="63" x14ac:dyDescent="0.2">
      <c r="A224" s="23" t="s">
        <v>1028</v>
      </c>
      <c r="B224" s="498" t="s">
        <v>1029</v>
      </c>
      <c r="C224" s="499">
        <f>40.111-1.786</f>
        <v>38.324999999999996</v>
      </c>
      <c r="D224" s="497">
        <f t="shared" si="10"/>
        <v>38.324999999999996</v>
      </c>
      <c r="E224" s="497">
        <f t="shared" si="11"/>
        <v>0</v>
      </c>
      <c r="F224" s="100" t="s">
        <v>36</v>
      </c>
      <c r="G224" s="38" t="s">
        <v>1030</v>
      </c>
      <c r="H224" s="188"/>
      <c r="I224" s="326"/>
      <c r="J224" s="250">
        <v>5.226</v>
      </c>
      <c r="K224" s="29" t="s">
        <v>1811</v>
      </c>
      <c r="L224" s="29"/>
      <c r="M224" s="29"/>
      <c r="N224" s="68"/>
      <c r="O224" s="68"/>
      <c r="P224" s="68"/>
      <c r="Q224" s="68"/>
      <c r="R224" s="29">
        <v>6</v>
      </c>
      <c r="S224" s="29"/>
      <c r="T224" s="29"/>
      <c r="U224" s="484"/>
      <c r="V224" s="250">
        <v>5.226</v>
      </c>
      <c r="W224" s="29" t="s">
        <v>1811</v>
      </c>
      <c r="X224" s="149"/>
      <c r="Y224" s="249"/>
      <c r="Z224" s="302">
        <v>33.098999999999997</v>
      </c>
      <c r="AA224" s="71" t="s">
        <v>1812</v>
      </c>
      <c r="AB224" s="71"/>
      <c r="AC224" s="79"/>
      <c r="AD224" s="71"/>
      <c r="AE224" s="78"/>
      <c r="AF224" s="78"/>
      <c r="AG224" s="78"/>
      <c r="AH224" s="78"/>
      <c r="AI224" s="79">
        <v>33.1</v>
      </c>
      <c r="AJ224" s="79"/>
      <c r="AK224" s="79"/>
      <c r="AL224" s="79"/>
      <c r="AM224" s="203"/>
      <c r="AN224" s="300"/>
      <c r="AO224" s="239" t="s">
        <v>1031</v>
      </c>
      <c r="AP224" s="166">
        <v>0</v>
      </c>
      <c r="AQ224" s="167">
        <v>316</v>
      </c>
      <c r="AR224" s="168" t="s">
        <v>1</v>
      </c>
      <c r="AS224" s="169" t="s">
        <v>1</v>
      </c>
      <c r="AT224" s="156">
        <v>26.972999999999999</v>
      </c>
      <c r="AU224" s="156">
        <v>27.533999999999999</v>
      </c>
      <c r="AV224" s="156">
        <f t="shared" ref="AV224" si="13">AU224-AT224</f>
        <v>0.56099999999999994</v>
      </c>
      <c r="AW224" s="156">
        <v>6</v>
      </c>
      <c r="AZ224" s="361"/>
    </row>
    <row r="225" spans="1:50" ht="31.5" x14ac:dyDescent="0.2">
      <c r="A225" s="23" t="s">
        <v>1032</v>
      </c>
      <c r="B225" s="498" t="s">
        <v>1033</v>
      </c>
      <c r="C225" s="499">
        <f>6.776-0.232</f>
        <v>6.5439999999999996</v>
      </c>
      <c r="D225" s="497">
        <f t="shared" si="10"/>
        <v>6.5439999999999996</v>
      </c>
      <c r="E225" s="497">
        <f t="shared" si="11"/>
        <v>0</v>
      </c>
      <c r="F225" s="100" t="s">
        <v>36</v>
      </c>
      <c r="G225" s="26" t="s">
        <v>1034</v>
      </c>
      <c r="H225" s="188"/>
      <c r="I225" s="326"/>
      <c r="J225" s="250">
        <v>6.5439999999999996</v>
      </c>
      <c r="K225" s="29" t="s">
        <v>1035</v>
      </c>
      <c r="L225" s="30"/>
      <c r="M225" s="30"/>
      <c r="N225" s="31"/>
      <c r="O225" s="31"/>
      <c r="P225" s="31"/>
      <c r="Q225" s="31"/>
      <c r="R225" s="30">
        <v>4</v>
      </c>
      <c r="S225" s="30"/>
      <c r="T225" s="30"/>
      <c r="U225" s="485"/>
      <c r="V225" s="28">
        <v>6.5439999999999996</v>
      </c>
      <c r="W225" s="29" t="s">
        <v>1035</v>
      </c>
      <c r="X225" s="149"/>
      <c r="Y225" s="249"/>
      <c r="Z225" s="299"/>
      <c r="AA225" s="32"/>
      <c r="AB225" s="32"/>
      <c r="AC225" s="35"/>
      <c r="AD225" s="32"/>
      <c r="AE225" s="34"/>
      <c r="AF225" s="34"/>
      <c r="AG225" s="34"/>
      <c r="AH225" s="34"/>
      <c r="AI225" s="35"/>
      <c r="AJ225" s="35"/>
      <c r="AK225" s="35"/>
      <c r="AL225" s="35"/>
      <c r="AM225" s="203"/>
      <c r="AN225" s="300"/>
      <c r="AO225" s="239"/>
      <c r="AP225" s="166">
        <v>0</v>
      </c>
      <c r="AQ225" s="167">
        <v>50</v>
      </c>
      <c r="AR225" s="168" t="s">
        <v>1</v>
      </c>
      <c r="AS225" s="169" t="s">
        <v>1</v>
      </c>
      <c r="AT225" s="156"/>
    </row>
    <row r="226" spans="1:50" ht="42" x14ac:dyDescent="0.2">
      <c r="A226" s="23" t="s">
        <v>1036</v>
      </c>
      <c r="B226" s="24" t="s">
        <v>1037</v>
      </c>
      <c r="C226" s="90">
        <f>117.977-61.097</f>
        <v>56.88</v>
      </c>
      <c r="D226" s="422">
        <f t="shared" si="10"/>
        <v>56.879999999999995</v>
      </c>
      <c r="E226" s="422">
        <f t="shared" si="11"/>
        <v>0</v>
      </c>
      <c r="F226" s="25" t="s">
        <v>210</v>
      </c>
      <c r="G226" s="26" t="s">
        <v>1038</v>
      </c>
      <c r="H226" s="188"/>
      <c r="I226" s="326" t="s">
        <v>1037</v>
      </c>
      <c r="J226" s="250">
        <v>9.2970000000000006</v>
      </c>
      <c r="K226" s="40" t="s">
        <v>1039</v>
      </c>
      <c r="L226" s="62">
        <v>0</v>
      </c>
      <c r="M226" s="62">
        <v>0</v>
      </c>
      <c r="N226" s="63">
        <v>0</v>
      </c>
      <c r="O226" s="63">
        <v>0</v>
      </c>
      <c r="P226" s="63">
        <v>0</v>
      </c>
      <c r="Q226" s="63">
        <v>0</v>
      </c>
      <c r="R226" s="62">
        <v>4.4984999999999999</v>
      </c>
      <c r="S226" s="40"/>
      <c r="T226" s="63"/>
      <c r="U226" s="63"/>
      <c r="V226" s="28"/>
      <c r="W226" s="29"/>
      <c r="X226" s="149"/>
      <c r="Y226" s="249"/>
      <c r="Z226" s="308">
        <v>47.582999999999998</v>
      </c>
      <c r="AA226" s="72" t="s">
        <v>1040</v>
      </c>
      <c r="AB226" s="72"/>
      <c r="AC226" s="74">
        <v>0</v>
      </c>
      <c r="AD226" s="72"/>
      <c r="AE226" s="55">
        <v>0</v>
      </c>
      <c r="AF226" s="55">
        <v>0</v>
      </c>
      <c r="AG226" s="55">
        <v>0</v>
      </c>
      <c r="AH226" s="55">
        <v>0</v>
      </c>
      <c r="AI226" s="74">
        <v>23.941500000000001</v>
      </c>
      <c r="AJ226" s="74"/>
      <c r="AK226" s="74">
        <v>47.883000000000003</v>
      </c>
      <c r="AL226" s="72" t="s">
        <v>1040</v>
      </c>
      <c r="AM226" s="203"/>
      <c r="AN226" s="300"/>
      <c r="AO226" s="239" t="s">
        <v>1041</v>
      </c>
      <c r="AP226" s="166">
        <v>0</v>
      </c>
      <c r="AQ226" s="167">
        <v>381</v>
      </c>
      <c r="AR226" s="168" t="s">
        <v>1042</v>
      </c>
      <c r="AS226" s="169" t="s">
        <v>33</v>
      </c>
      <c r="AT226" s="156">
        <v>61.887</v>
      </c>
      <c r="AU226" s="156">
        <v>63.432000000000002</v>
      </c>
      <c r="AV226" s="156">
        <f t="shared" ref="AV226:AV227" si="14">AU226-AT226</f>
        <v>1.5450000000000017</v>
      </c>
      <c r="AW226" s="156">
        <v>11</v>
      </c>
      <c r="AX226" s="156">
        <v>11</v>
      </c>
    </row>
    <row r="227" spans="1:50" ht="31.5" x14ac:dyDescent="0.2">
      <c r="A227" s="23" t="s">
        <v>1043</v>
      </c>
      <c r="B227" s="24" t="s">
        <v>1044</v>
      </c>
      <c r="C227" s="90">
        <f>133.57-1.094</f>
        <v>132.476</v>
      </c>
      <c r="D227" s="422">
        <f t="shared" si="10"/>
        <v>132.476</v>
      </c>
      <c r="E227" s="422">
        <f t="shared" si="11"/>
        <v>0</v>
      </c>
      <c r="F227" s="25" t="s">
        <v>163</v>
      </c>
      <c r="G227" s="38" t="s">
        <v>1045</v>
      </c>
      <c r="H227" s="188"/>
      <c r="I227" s="326" t="s">
        <v>1046</v>
      </c>
      <c r="J227" s="250">
        <v>119.401</v>
      </c>
      <c r="K227" s="40" t="s">
        <v>1047</v>
      </c>
      <c r="L227" s="62">
        <v>0</v>
      </c>
      <c r="M227" s="62">
        <v>0</v>
      </c>
      <c r="N227" s="63">
        <v>0</v>
      </c>
      <c r="O227" s="63">
        <v>0</v>
      </c>
      <c r="P227" s="63">
        <v>0</v>
      </c>
      <c r="Q227" s="63">
        <v>0</v>
      </c>
      <c r="R227" s="62">
        <v>59.700499999999998</v>
      </c>
      <c r="S227" s="41"/>
      <c r="T227" s="63"/>
      <c r="U227" s="63"/>
      <c r="V227" s="28">
        <v>119.401</v>
      </c>
      <c r="W227" s="40" t="s">
        <v>1047</v>
      </c>
      <c r="X227" s="149"/>
      <c r="Y227" s="253" t="s">
        <v>1047</v>
      </c>
      <c r="Z227" s="301">
        <v>13.074999999999999</v>
      </c>
      <c r="AA227" s="53" t="s">
        <v>1048</v>
      </c>
      <c r="AB227" s="53"/>
      <c r="AC227" s="56">
        <v>0</v>
      </c>
      <c r="AD227" s="53">
        <v>0</v>
      </c>
      <c r="AE227" s="55">
        <v>0</v>
      </c>
      <c r="AF227" s="55">
        <v>0</v>
      </c>
      <c r="AG227" s="55">
        <v>0</v>
      </c>
      <c r="AH227" s="55">
        <v>0</v>
      </c>
      <c r="AI227" s="56">
        <v>13.074999999999999</v>
      </c>
      <c r="AJ227" s="56"/>
      <c r="AK227" s="56">
        <v>13.074999999999999</v>
      </c>
      <c r="AL227" s="53" t="s">
        <v>1048</v>
      </c>
      <c r="AM227" s="76">
        <v>13.074999999999999</v>
      </c>
      <c r="AN227" s="304" t="s">
        <v>1048</v>
      </c>
      <c r="AO227" s="239" t="s">
        <v>1049</v>
      </c>
      <c r="AP227" s="166">
        <v>0</v>
      </c>
      <c r="AQ227" s="167">
        <v>992</v>
      </c>
      <c r="AR227" s="168" t="s">
        <v>1042</v>
      </c>
      <c r="AS227" s="169" t="s">
        <v>33</v>
      </c>
      <c r="AT227" s="156">
        <v>80.992999999999995</v>
      </c>
      <c r="AU227" s="156">
        <v>84.775000000000006</v>
      </c>
      <c r="AV227" s="156">
        <f t="shared" si="14"/>
        <v>3.7820000000000107</v>
      </c>
      <c r="AW227" s="156">
        <v>12</v>
      </c>
      <c r="AX227" s="156">
        <v>12</v>
      </c>
    </row>
    <row r="228" spans="1:50" ht="31.5" x14ac:dyDescent="0.2">
      <c r="A228" s="23" t="s">
        <v>1050</v>
      </c>
      <c r="B228" s="24" t="s">
        <v>1051</v>
      </c>
      <c r="C228" s="90">
        <f>3.242-0.514</f>
        <v>2.7279999999999998</v>
      </c>
      <c r="D228" s="422">
        <f t="shared" si="10"/>
        <v>2.7279999999999998</v>
      </c>
      <c r="E228" s="422">
        <f t="shared" si="11"/>
        <v>0</v>
      </c>
      <c r="F228" s="25" t="s">
        <v>68</v>
      </c>
      <c r="G228" s="26" t="s">
        <v>1052</v>
      </c>
      <c r="H228" s="188"/>
      <c r="I228" s="327" t="s">
        <v>1051</v>
      </c>
      <c r="J228" s="250">
        <v>2.7279999999999998</v>
      </c>
      <c r="K228" s="29" t="s">
        <v>1053</v>
      </c>
      <c r="L228" s="30">
        <v>2.6</v>
      </c>
      <c r="M228" s="30" t="s">
        <v>1054</v>
      </c>
      <c r="N228" s="31">
        <v>7</v>
      </c>
      <c r="O228" s="31">
        <v>0</v>
      </c>
      <c r="P228" s="31">
        <v>0</v>
      </c>
      <c r="Q228" s="31">
        <v>0</v>
      </c>
      <c r="R228" s="30"/>
      <c r="S228" s="30"/>
      <c r="T228" s="30"/>
      <c r="U228" s="30"/>
      <c r="V228" s="28"/>
      <c r="W228" s="29"/>
      <c r="X228" s="149"/>
      <c r="Y228" s="249"/>
      <c r="Z228" s="299"/>
      <c r="AA228" s="32"/>
      <c r="AB228" s="32"/>
      <c r="AC228" s="35"/>
      <c r="AD228" s="32"/>
      <c r="AE228" s="34"/>
      <c r="AF228" s="34"/>
      <c r="AG228" s="34"/>
      <c r="AH228" s="34"/>
      <c r="AI228" s="35"/>
      <c r="AJ228" s="35"/>
      <c r="AK228" s="35"/>
      <c r="AL228" s="35"/>
      <c r="AM228" s="203"/>
      <c r="AN228" s="300"/>
      <c r="AO228" s="239"/>
      <c r="AP228" s="166">
        <v>0</v>
      </c>
      <c r="AQ228" s="167" t="s">
        <v>1055</v>
      </c>
      <c r="AR228" s="168" t="s">
        <v>1</v>
      </c>
      <c r="AS228" s="169" t="s">
        <v>1</v>
      </c>
    </row>
    <row r="229" spans="1:50" ht="42" x14ac:dyDescent="0.2">
      <c r="A229" s="23" t="s">
        <v>1056</v>
      </c>
      <c r="B229" s="24" t="s">
        <v>1057</v>
      </c>
      <c r="C229" s="90">
        <f>1.437-0.624</f>
        <v>0.81300000000000006</v>
      </c>
      <c r="D229" s="422">
        <f t="shared" si="10"/>
        <v>0.81300000000000006</v>
      </c>
      <c r="E229" s="422">
        <f t="shared" si="11"/>
        <v>0</v>
      </c>
      <c r="F229" s="25" t="s">
        <v>68</v>
      </c>
      <c r="G229" s="26" t="s">
        <v>1058</v>
      </c>
      <c r="H229" s="188"/>
      <c r="I229" s="327" t="s">
        <v>1057</v>
      </c>
      <c r="J229" s="250">
        <v>0.81300000000000006</v>
      </c>
      <c r="K229" s="29" t="s">
        <v>1059</v>
      </c>
      <c r="L229" s="30">
        <v>1.1000000000000001</v>
      </c>
      <c r="M229" s="30" t="s">
        <v>1060</v>
      </c>
      <c r="N229" s="31">
        <v>6</v>
      </c>
      <c r="O229" s="31">
        <v>0</v>
      </c>
      <c r="P229" s="31">
        <v>0</v>
      </c>
      <c r="Q229" s="31">
        <v>0</v>
      </c>
      <c r="R229" s="30"/>
      <c r="S229" s="30"/>
      <c r="T229" s="30"/>
      <c r="U229" s="30"/>
      <c r="V229" s="28"/>
      <c r="W229" s="29"/>
      <c r="X229" s="149"/>
      <c r="Y229" s="249"/>
      <c r="Z229" s="299"/>
      <c r="AA229" s="32"/>
      <c r="AB229" s="32"/>
      <c r="AC229" s="35"/>
      <c r="AD229" s="32"/>
      <c r="AE229" s="34"/>
      <c r="AF229" s="34"/>
      <c r="AG229" s="34"/>
      <c r="AH229" s="34"/>
      <c r="AI229" s="35"/>
      <c r="AJ229" s="35"/>
      <c r="AK229" s="35"/>
      <c r="AL229" s="35"/>
      <c r="AM229" s="203"/>
      <c r="AN229" s="300"/>
      <c r="AO229" s="239"/>
      <c r="AP229" s="166">
        <v>6</v>
      </c>
      <c r="AQ229" s="167" t="s">
        <v>1061</v>
      </c>
      <c r="AR229" s="168" t="s">
        <v>1</v>
      </c>
      <c r="AS229" s="169" t="s">
        <v>1</v>
      </c>
    </row>
    <row r="230" spans="1:50" ht="42" x14ac:dyDescent="0.2">
      <c r="A230" s="23" t="s">
        <v>1062</v>
      </c>
      <c r="B230" s="24" t="s">
        <v>1063</v>
      </c>
      <c r="C230" s="90">
        <f>186.744-133.57</f>
        <v>53.174000000000007</v>
      </c>
      <c r="D230" s="422">
        <f t="shared" si="10"/>
        <v>53.174000000000007</v>
      </c>
      <c r="E230" s="422">
        <f t="shared" si="11"/>
        <v>0</v>
      </c>
      <c r="F230" s="25" t="s">
        <v>68</v>
      </c>
      <c r="G230" s="38" t="s">
        <v>1064</v>
      </c>
      <c r="H230" s="188"/>
      <c r="I230" s="327" t="s">
        <v>1063</v>
      </c>
      <c r="J230" s="250">
        <v>53.174000000000007</v>
      </c>
      <c r="K230" s="29" t="s">
        <v>1065</v>
      </c>
      <c r="L230" s="30">
        <v>12.3</v>
      </c>
      <c r="M230" s="30" t="s">
        <v>1066</v>
      </c>
      <c r="N230" s="31">
        <v>21</v>
      </c>
      <c r="O230" s="31">
        <v>3</v>
      </c>
      <c r="P230" s="31">
        <v>3</v>
      </c>
      <c r="Q230" s="31">
        <v>0</v>
      </c>
      <c r="R230" s="30"/>
      <c r="S230" s="30"/>
      <c r="T230" s="30"/>
      <c r="U230" s="30"/>
      <c r="V230" s="28">
        <v>53.174000000000007</v>
      </c>
      <c r="W230" s="29" t="s">
        <v>1065</v>
      </c>
      <c r="X230" s="149"/>
      <c r="Y230" s="249" t="s">
        <v>1065</v>
      </c>
      <c r="Z230" s="299"/>
      <c r="AA230" s="32"/>
      <c r="AB230" s="32"/>
      <c r="AC230" s="35"/>
      <c r="AD230" s="32"/>
      <c r="AE230" s="34"/>
      <c r="AF230" s="34"/>
      <c r="AG230" s="34"/>
      <c r="AH230" s="34"/>
      <c r="AI230" s="35"/>
      <c r="AJ230" s="35"/>
      <c r="AK230" s="35"/>
      <c r="AL230" s="35"/>
      <c r="AM230" s="203"/>
      <c r="AN230" s="300"/>
      <c r="AO230" s="239"/>
      <c r="AP230" s="166">
        <v>23</v>
      </c>
      <c r="AQ230" s="167">
        <v>480</v>
      </c>
      <c r="AR230" s="168" t="s">
        <v>1</v>
      </c>
      <c r="AS230" s="169" t="s">
        <v>1</v>
      </c>
    </row>
    <row r="231" spans="1:50" ht="31.5" x14ac:dyDescent="0.2">
      <c r="A231" s="23" t="s">
        <v>1067</v>
      </c>
      <c r="B231" s="24" t="s">
        <v>1068</v>
      </c>
      <c r="C231" s="90">
        <f>34.778-0.47</f>
        <v>34.308</v>
      </c>
      <c r="D231" s="422">
        <f t="shared" si="10"/>
        <v>34.308</v>
      </c>
      <c r="E231" s="422">
        <f t="shared" si="11"/>
        <v>0</v>
      </c>
      <c r="F231" s="25" t="s">
        <v>68</v>
      </c>
      <c r="G231" s="26" t="s">
        <v>1069</v>
      </c>
      <c r="H231" s="188"/>
      <c r="I231" s="326"/>
      <c r="J231" s="250">
        <v>34.308</v>
      </c>
      <c r="K231" s="29" t="s">
        <v>1070</v>
      </c>
      <c r="L231" s="30"/>
      <c r="M231" s="30"/>
      <c r="N231" s="31"/>
      <c r="O231" s="31"/>
      <c r="P231" s="31"/>
      <c r="Q231" s="31"/>
      <c r="R231" s="30"/>
      <c r="S231" s="30"/>
      <c r="T231" s="30"/>
      <c r="U231" s="30"/>
      <c r="V231" s="28"/>
      <c r="W231" s="29"/>
      <c r="X231" s="149"/>
      <c r="Y231" s="249"/>
      <c r="Z231" s="299"/>
      <c r="AA231" s="32"/>
      <c r="AB231" s="32"/>
      <c r="AC231" s="35"/>
      <c r="AD231" s="32"/>
      <c r="AE231" s="34"/>
      <c r="AF231" s="34"/>
      <c r="AG231" s="34"/>
      <c r="AH231" s="34"/>
      <c r="AI231" s="35"/>
      <c r="AJ231" s="35"/>
      <c r="AK231" s="35"/>
      <c r="AL231" s="35"/>
      <c r="AM231" s="203"/>
      <c r="AN231" s="300"/>
      <c r="AO231" s="239"/>
      <c r="AP231" s="166">
        <v>26</v>
      </c>
      <c r="AQ231" s="167">
        <v>235</v>
      </c>
      <c r="AR231" s="168" t="s">
        <v>1</v>
      </c>
      <c r="AS231" s="169" t="s">
        <v>1</v>
      </c>
    </row>
    <row r="232" spans="1:50" ht="31.5" x14ac:dyDescent="0.2">
      <c r="A232" s="23" t="s">
        <v>1071</v>
      </c>
      <c r="B232" s="24" t="s">
        <v>1072</v>
      </c>
      <c r="C232" s="90">
        <f>39.208-31.673</f>
        <v>7.5350000000000001</v>
      </c>
      <c r="D232" s="422">
        <f t="shared" si="10"/>
        <v>7.5350000000000001</v>
      </c>
      <c r="E232" s="422">
        <f t="shared" si="11"/>
        <v>0</v>
      </c>
      <c r="F232" s="25" t="s">
        <v>68</v>
      </c>
      <c r="G232" s="26" t="s">
        <v>1073</v>
      </c>
      <c r="H232" s="188"/>
      <c r="I232" s="326"/>
      <c r="J232" s="250">
        <v>7.5350000000000001</v>
      </c>
      <c r="K232" s="29" t="s">
        <v>1074</v>
      </c>
      <c r="L232" s="30"/>
      <c r="M232" s="30"/>
      <c r="N232" s="31"/>
      <c r="O232" s="31"/>
      <c r="P232" s="31"/>
      <c r="Q232" s="31"/>
      <c r="R232" s="30"/>
      <c r="S232" s="30"/>
      <c r="T232" s="30"/>
      <c r="U232" s="30"/>
      <c r="V232" s="28"/>
      <c r="W232" s="29"/>
      <c r="X232" s="149"/>
      <c r="Y232" s="249"/>
      <c r="Z232" s="299"/>
      <c r="AA232" s="32"/>
      <c r="AB232" s="32"/>
      <c r="AC232" s="35"/>
      <c r="AD232" s="32"/>
      <c r="AE232" s="34"/>
      <c r="AF232" s="34"/>
      <c r="AG232" s="34"/>
      <c r="AH232" s="34"/>
      <c r="AI232" s="35"/>
      <c r="AJ232" s="35"/>
      <c r="AK232" s="35"/>
      <c r="AL232" s="35"/>
      <c r="AM232" s="203"/>
      <c r="AN232" s="300"/>
      <c r="AO232" s="239"/>
      <c r="AP232" s="166">
        <v>5</v>
      </c>
      <c r="AQ232" s="167">
        <v>43</v>
      </c>
      <c r="AR232" s="168" t="s">
        <v>1</v>
      </c>
      <c r="AS232" s="169" t="s">
        <v>1</v>
      </c>
    </row>
    <row r="233" spans="1:50" ht="31.5" x14ac:dyDescent="0.2">
      <c r="A233" s="23" t="s">
        <v>1075</v>
      </c>
      <c r="B233" s="24" t="s">
        <v>1076</v>
      </c>
      <c r="C233" s="90">
        <f>12.739-6.393</f>
        <v>6.346000000000001</v>
      </c>
      <c r="D233" s="422">
        <f t="shared" si="10"/>
        <v>6.346000000000001</v>
      </c>
      <c r="E233" s="422">
        <f t="shared" si="11"/>
        <v>0</v>
      </c>
      <c r="F233" s="25" t="s">
        <v>68</v>
      </c>
      <c r="G233" s="26" t="s">
        <v>1077</v>
      </c>
      <c r="H233" s="188"/>
      <c r="I233" s="326"/>
      <c r="J233" s="250">
        <v>6.346000000000001</v>
      </c>
      <c r="K233" s="29" t="s">
        <v>1078</v>
      </c>
      <c r="L233" s="30"/>
      <c r="M233" s="30"/>
      <c r="N233" s="31"/>
      <c r="O233" s="31"/>
      <c r="P233" s="31"/>
      <c r="Q233" s="31"/>
      <c r="R233" s="30"/>
      <c r="S233" s="30"/>
      <c r="T233" s="208"/>
      <c r="U233" s="208"/>
      <c r="V233" s="263"/>
      <c r="W233" s="263"/>
      <c r="X233" s="263"/>
      <c r="Y233" s="264"/>
      <c r="Z233" s="299"/>
      <c r="AA233" s="32"/>
      <c r="AB233" s="32"/>
      <c r="AC233" s="35"/>
      <c r="AD233" s="32"/>
      <c r="AE233" s="34"/>
      <c r="AF233" s="34"/>
      <c r="AG233" s="34"/>
      <c r="AH233" s="34"/>
      <c r="AI233" s="35"/>
      <c r="AJ233" s="35"/>
      <c r="AK233" s="214"/>
      <c r="AL233" s="214"/>
      <c r="AM233" s="311"/>
      <c r="AN233" s="312"/>
      <c r="AO233" s="239"/>
      <c r="AP233" s="166">
        <v>0</v>
      </c>
      <c r="AQ233" s="167">
        <v>22</v>
      </c>
      <c r="AR233" s="168" t="s">
        <v>1</v>
      </c>
      <c r="AS233" s="169" t="s">
        <v>1</v>
      </c>
    </row>
    <row r="234" spans="1:50" ht="31.5" x14ac:dyDescent="0.2">
      <c r="A234" s="23" t="s">
        <v>1079</v>
      </c>
      <c r="B234" s="24" t="s">
        <v>1080</v>
      </c>
      <c r="C234" s="90">
        <f>4.514-0.733</f>
        <v>3.7810000000000001</v>
      </c>
      <c r="D234" s="422">
        <f t="shared" si="10"/>
        <v>3.7810000000000001</v>
      </c>
      <c r="E234" s="422">
        <f t="shared" si="11"/>
        <v>0</v>
      </c>
      <c r="F234" s="25" t="s">
        <v>68</v>
      </c>
      <c r="G234" s="26" t="s">
        <v>1081</v>
      </c>
      <c r="H234" s="188"/>
      <c r="I234" s="327" t="s">
        <v>1080</v>
      </c>
      <c r="J234" s="250">
        <v>3.7810000000000001</v>
      </c>
      <c r="K234" s="29" t="s">
        <v>1082</v>
      </c>
      <c r="L234" s="30">
        <v>3.1</v>
      </c>
      <c r="M234" s="30" t="s">
        <v>1083</v>
      </c>
      <c r="N234" s="31">
        <v>8</v>
      </c>
      <c r="O234" s="31">
        <v>0</v>
      </c>
      <c r="P234" s="31">
        <v>2</v>
      </c>
      <c r="Q234" s="31">
        <v>0</v>
      </c>
      <c r="R234" s="30"/>
      <c r="S234" s="30"/>
      <c r="T234" s="208"/>
      <c r="U234" s="208"/>
      <c r="V234" s="263"/>
      <c r="W234" s="263"/>
      <c r="X234" s="263"/>
      <c r="Y234" s="264"/>
      <c r="Z234" s="299"/>
      <c r="AA234" s="32"/>
      <c r="AB234" s="32"/>
      <c r="AC234" s="35"/>
      <c r="AD234" s="32"/>
      <c r="AE234" s="34"/>
      <c r="AF234" s="34"/>
      <c r="AG234" s="34"/>
      <c r="AH234" s="34"/>
      <c r="AI234" s="35"/>
      <c r="AJ234" s="35"/>
      <c r="AK234" s="214"/>
      <c r="AL234" s="214"/>
      <c r="AM234" s="311"/>
      <c r="AN234" s="312"/>
      <c r="AO234" s="239"/>
      <c r="AP234" s="166">
        <v>8</v>
      </c>
      <c r="AQ234" s="167">
        <v>16</v>
      </c>
      <c r="AR234" s="168" t="s">
        <v>1</v>
      </c>
      <c r="AS234" s="169" t="s">
        <v>1</v>
      </c>
    </row>
    <row r="235" spans="1:50" s="2" customFormat="1" ht="31.5" x14ac:dyDescent="0.2">
      <c r="A235" s="23" t="s">
        <v>1084</v>
      </c>
      <c r="B235" s="24" t="s">
        <v>1085</v>
      </c>
      <c r="C235" s="90">
        <f>31.673-0.666</f>
        <v>31.006999999999998</v>
      </c>
      <c r="D235" s="422">
        <f t="shared" si="10"/>
        <v>31.006999999999998</v>
      </c>
      <c r="E235" s="422">
        <f t="shared" si="11"/>
        <v>0</v>
      </c>
      <c r="F235" s="90" t="s">
        <v>68</v>
      </c>
      <c r="G235" s="38" t="s">
        <v>1086</v>
      </c>
      <c r="H235" s="188"/>
      <c r="I235" s="328"/>
      <c r="J235" s="250">
        <v>31.006999999999998</v>
      </c>
      <c r="K235" s="28" t="s">
        <v>1087</v>
      </c>
      <c r="L235" s="46">
        <v>19.100000000000001</v>
      </c>
      <c r="M235" s="46" t="s">
        <v>1088</v>
      </c>
      <c r="N235" s="47">
        <v>63</v>
      </c>
      <c r="O235" s="47">
        <v>7</v>
      </c>
      <c r="P235" s="47">
        <v>10</v>
      </c>
      <c r="Q235" s="47">
        <v>0</v>
      </c>
      <c r="R235" s="46"/>
      <c r="S235" s="46"/>
      <c r="T235" s="46"/>
      <c r="U235" s="46"/>
      <c r="V235" s="28">
        <v>31.006999999999998</v>
      </c>
      <c r="W235" s="29" t="s">
        <v>1087</v>
      </c>
      <c r="X235" s="149"/>
      <c r="Y235" s="249" t="s">
        <v>1087</v>
      </c>
      <c r="Z235" s="306"/>
      <c r="AA235" s="65"/>
      <c r="AB235" s="65"/>
      <c r="AC235" s="67"/>
      <c r="AD235" s="65"/>
      <c r="AE235" s="66"/>
      <c r="AF235" s="66"/>
      <c r="AG235" s="66"/>
      <c r="AH235" s="66"/>
      <c r="AI235" s="67"/>
      <c r="AJ235" s="67"/>
      <c r="AK235" s="67"/>
      <c r="AL235" s="67"/>
      <c r="AM235" s="203"/>
      <c r="AN235" s="300"/>
      <c r="AO235" s="239"/>
      <c r="AP235" s="166">
        <v>56</v>
      </c>
      <c r="AQ235" s="167">
        <v>185</v>
      </c>
      <c r="AR235" s="168" t="s">
        <v>1</v>
      </c>
      <c r="AS235" s="169" t="s">
        <v>1</v>
      </c>
      <c r="AT235" s="156"/>
      <c r="AU235" s="156"/>
      <c r="AV235" s="155"/>
      <c r="AW235" s="156"/>
      <c r="AX235" s="156"/>
    </row>
    <row r="236" spans="1:50" ht="21" x14ac:dyDescent="0.2">
      <c r="A236" s="23" t="s">
        <v>1089</v>
      </c>
      <c r="B236" s="24" t="s">
        <v>1090</v>
      </c>
      <c r="C236" s="90">
        <f>65.349-39.255</f>
        <v>26.094000000000001</v>
      </c>
      <c r="D236" s="422">
        <f t="shared" si="10"/>
        <v>26.094000000000001</v>
      </c>
      <c r="E236" s="422">
        <f t="shared" si="11"/>
        <v>0</v>
      </c>
      <c r="F236" s="25" t="s">
        <v>68</v>
      </c>
      <c r="G236" s="26" t="s">
        <v>1091</v>
      </c>
      <c r="H236" s="188"/>
      <c r="I236" s="326"/>
      <c r="J236" s="250">
        <v>26.094000000000001</v>
      </c>
      <c r="K236" s="29" t="s">
        <v>1092</v>
      </c>
      <c r="L236" s="30">
        <v>15.7</v>
      </c>
      <c r="M236" s="30" t="s">
        <v>1093</v>
      </c>
      <c r="N236" s="31">
        <v>22</v>
      </c>
      <c r="O236" s="31">
        <v>9</v>
      </c>
      <c r="P236" s="31">
        <v>42</v>
      </c>
      <c r="Q236" s="31">
        <v>0</v>
      </c>
      <c r="R236" s="30"/>
      <c r="S236" s="30"/>
      <c r="T236" s="30"/>
      <c r="U236" s="30"/>
      <c r="V236" s="28"/>
      <c r="W236" s="29"/>
      <c r="X236" s="149"/>
      <c r="Y236" s="249"/>
      <c r="Z236" s="299"/>
      <c r="AA236" s="32"/>
      <c r="AB236" s="32"/>
      <c r="AC236" s="35"/>
      <c r="AD236" s="32"/>
      <c r="AE236" s="34"/>
      <c r="AF236" s="34"/>
      <c r="AG236" s="34"/>
      <c r="AH236" s="34"/>
      <c r="AI236" s="35"/>
      <c r="AJ236" s="35"/>
      <c r="AK236" s="35"/>
      <c r="AL236" s="35"/>
      <c r="AM236" s="203"/>
      <c r="AN236" s="300"/>
      <c r="AO236" s="239"/>
      <c r="AP236" s="166">
        <v>22</v>
      </c>
      <c r="AQ236" s="167">
        <v>150</v>
      </c>
      <c r="AR236" s="168" t="s">
        <v>1</v>
      </c>
      <c r="AS236" s="169" t="s">
        <v>1</v>
      </c>
      <c r="AT236" s="156"/>
      <c r="AV236" s="155"/>
    </row>
    <row r="237" spans="1:50" ht="21" x14ac:dyDescent="0.2">
      <c r="A237" s="23" t="s">
        <v>1094</v>
      </c>
      <c r="B237" s="24" t="s">
        <v>1095</v>
      </c>
      <c r="C237" s="90">
        <f>16.766-0.309</f>
        <v>16.456999999999997</v>
      </c>
      <c r="D237" s="422">
        <f t="shared" si="10"/>
        <v>16.456999999999997</v>
      </c>
      <c r="E237" s="422">
        <f t="shared" si="11"/>
        <v>0</v>
      </c>
      <c r="F237" s="25" t="s">
        <v>68</v>
      </c>
      <c r="G237" s="26" t="s">
        <v>1096</v>
      </c>
      <c r="H237" s="188"/>
      <c r="I237" s="326"/>
      <c r="J237" s="250">
        <v>16.456999999999997</v>
      </c>
      <c r="K237" s="29" t="s">
        <v>1097</v>
      </c>
      <c r="L237" s="30"/>
      <c r="M237" s="30"/>
      <c r="N237" s="31"/>
      <c r="O237" s="31"/>
      <c r="P237" s="31"/>
      <c r="Q237" s="31"/>
      <c r="R237" s="30"/>
      <c r="S237" s="30"/>
      <c r="T237" s="30"/>
      <c r="U237" s="30"/>
      <c r="V237" s="28"/>
      <c r="W237" s="29"/>
      <c r="X237" s="149"/>
      <c r="Y237" s="249"/>
      <c r="Z237" s="299"/>
      <c r="AA237" s="32"/>
      <c r="AB237" s="32"/>
      <c r="AC237" s="35"/>
      <c r="AD237" s="32"/>
      <c r="AE237" s="34"/>
      <c r="AF237" s="34"/>
      <c r="AG237" s="34"/>
      <c r="AH237" s="34"/>
      <c r="AI237" s="35"/>
      <c r="AJ237" s="35"/>
      <c r="AK237" s="35"/>
      <c r="AL237" s="35"/>
      <c r="AM237" s="203"/>
      <c r="AN237" s="300"/>
      <c r="AO237" s="239"/>
      <c r="AP237" s="166">
        <v>6</v>
      </c>
      <c r="AQ237" s="167">
        <v>121</v>
      </c>
      <c r="AR237" s="168" t="s">
        <v>1</v>
      </c>
      <c r="AS237" s="169" t="s">
        <v>1</v>
      </c>
      <c r="AT237" s="156"/>
      <c r="AV237" s="155"/>
    </row>
    <row r="238" spans="1:50" ht="31.5" x14ac:dyDescent="0.2">
      <c r="A238" s="23" t="s">
        <v>1098</v>
      </c>
      <c r="B238" s="24" t="s">
        <v>1099</v>
      </c>
      <c r="C238" s="90">
        <f>47.618-0.211</f>
        <v>47.407000000000004</v>
      </c>
      <c r="D238" s="422">
        <f t="shared" si="10"/>
        <v>47.407000000000004</v>
      </c>
      <c r="E238" s="422">
        <f t="shared" si="11"/>
        <v>0</v>
      </c>
      <c r="F238" s="25" t="s">
        <v>1100</v>
      </c>
      <c r="G238" s="38" t="s">
        <v>1101</v>
      </c>
      <c r="H238" s="188"/>
      <c r="I238" s="326"/>
      <c r="J238" s="250">
        <v>20.259</v>
      </c>
      <c r="K238" s="29" t="s">
        <v>1102</v>
      </c>
      <c r="L238" s="48"/>
      <c r="M238" s="28"/>
      <c r="N238" s="48"/>
      <c r="O238" s="48"/>
      <c r="P238" s="48"/>
      <c r="Q238" s="48"/>
      <c r="R238" s="28"/>
      <c r="S238" s="48"/>
      <c r="T238" s="28"/>
      <c r="U238" s="28"/>
      <c r="V238" s="28">
        <v>20.259</v>
      </c>
      <c r="W238" s="29" t="s">
        <v>1102</v>
      </c>
      <c r="X238" s="149"/>
      <c r="Y238" s="249" t="s">
        <v>1102</v>
      </c>
      <c r="Z238" s="308">
        <v>27.148000000000003</v>
      </c>
      <c r="AA238" s="59" t="s">
        <v>1103</v>
      </c>
      <c r="AB238" s="59">
        <v>27.148</v>
      </c>
      <c r="AC238" s="61">
        <v>0</v>
      </c>
      <c r="AD238" s="59">
        <v>0</v>
      </c>
      <c r="AE238" s="60"/>
      <c r="AF238" s="60"/>
      <c r="AG238" s="60"/>
      <c r="AH238" s="60"/>
      <c r="AI238" s="61">
        <v>0</v>
      </c>
      <c r="AJ238" s="59">
        <v>0</v>
      </c>
      <c r="AK238" s="61">
        <v>0</v>
      </c>
      <c r="AL238" s="59">
        <v>0</v>
      </c>
      <c r="AM238" s="203"/>
      <c r="AN238" s="300"/>
      <c r="AO238" s="239"/>
      <c r="AP238" s="166">
        <v>22</v>
      </c>
      <c r="AQ238" s="167">
        <v>137</v>
      </c>
      <c r="AR238" s="168" t="s">
        <v>1</v>
      </c>
      <c r="AS238" s="169" t="s">
        <v>33</v>
      </c>
      <c r="AT238" s="156"/>
      <c r="AV238" s="155"/>
    </row>
    <row r="239" spans="1:50" ht="52.5" x14ac:dyDescent="0.2">
      <c r="A239" s="23" t="s">
        <v>1104</v>
      </c>
      <c r="B239" s="24" t="s">
        <v>1105</v>
      </c>
      <c r="C239" s="90">
        <f>38.069-0.514</f>
        <v>37.555</v>
      </c>
      <c r="D239" s="422">
        <f t="shared" si="10"/>
        <v>37.555</v>
      </c>
      <c r="E239" s="422">
        <f t="shared" si="11"/>
        <v>0</v>
      </c>
      <c r="F239" s="25" t="s">
        <v>68</v>
      </c>
      <c r="G239" s="26" t="s">
        <v>1106</v>
      </c>
      <c r="H239" s="188"/>
      <c r="I239" s="326"/>
      <c r="J239" s="250">
        <v>37.555</v>
      </c>
      <c r="K239" s="29" t="s">
        <v>1107</v>
      </c>
      <c r="L239" s="30"/>
      <c r="M239" s="30"/>
      <c r="N239" s="31"/>
      <c r="O239" s="31"/>
      <c r="P239" s="31"/>
      <c r="Q239" s="31"/>
      <c r="R239" s="30"/>
      <c r="S239" s="30"/>
      <c r="T239" s="30"/>
      <c r="U239" s="30"/>
      <c r="V239" s="28"/>
      <c r="W239" s="29"/>
      <c r="X239" s="149"/>
      <c r="Y239" s="249"/>
      <c r="Z239" s="299"/>
      <c r="AA239" s="32"/>
      <c r="AB239" s="32"/>
      <c r="AC239" s="35"/>
      <c r="AD239" s="32"/>
      <c r="AE239" s="34"/>
      <c r="AF239" s="34"/>
      <c r="AG239" s="34"/>
      <c r="AH239" s="34"/>
      <c r="AI239" s="35"/>
      <c r="AJ239" s="35"/>
      <c r="AK239" s="35"/>
      <c r="AL239" s="35"/>
      <c r="AM239" s="203"/>
      <c r="AN239" s="300"/>
      <c r="AO239" s="239"/>
      <c r="AP239" s="174">
        <v>0</v>
      </c>
      <c r="AQ239" s="167">
        <v>209</v>
      </c>
      <c r="AR239" s="168" t="s">
        <v>1</v>
      </c>
      <c r="AS239" s="169" t="s">
        <v>1</v>
      </c>
    </row>
    <row r="240" spans="1:50" ht="31.5" x14ac:dyDescent="0.2">
      <c r="A240" s="23" t="s">
        <v>1108</v>
      </c>
      <c r="B240" s="24" t="s">
        <v>1109</v>
      </c>
      <c r="C240" s="90">
        <f>35.679-0.448</f>
        <v>35.231000000000002</v>
      </c>
      <c r="D240" s="422">
        <f t="shared" si="10"/>
        <v>35.231000000000002</v>
      </c>
      <c r="E240" s="422">
        <f t="shared" si="11"/>
        <v>0</v>
      </c>
      <c r="F240" s="25" t="s">
        <v>68</v>
      </c>
      <c r="G240" s="26" t="s">
        <v>1110</v>
      </c>
      <c r="H240" s="188"/>
      <c r="I240" s="326"/>
      <c r="J240" s="250">
        <v>35.231000000000002</v>
      </c>
      <c r="K240" s="29" t="s">
        <v>1111</v>
      </c>
      <c r="L240" s="30">
        <v>14</v>
      </c>
      <c r="M240" s="30" t="s">
        <v>1093</v>
      </c>
      <c r="N240" s="31">
        <v>32</v>
      </c>
      <c r="O240" s="31">
        <v>9</v>
      </c>
      <c r="P240" s="31">
        <v>19</v>
      </c>
      <c r="Q240" s="31">
        <v>0</v>
      </c>
      <c r="R240" s="30"/>
      <c r="S240" s="30"/>
      <c r="T240" s="30"/>
      <c r="U240" s="30"/>
      <c r="V240" s="28"/>
      <c r="W240" s="29"/>
      <c r="X240" s="149"/>
      <c r="Y240" s="249"/>
      <c r="Z240" s="299"/>
      <c r="AA240" s="32"/>
      <c r="AB240" s="32"/>
      <c r="AC240" s="35"/>
      <c r="AD240" s="32"/>
      <c r="AE240" s="34"/>
      <c r="AF240" s="34"/>
      <c r="AG240" s="34"/>
      <c r="AH240" s="34"/>
      <c r="AI240" s="35"/>
      <c r="AJ240" s="35"/>
      <c r="AK240" s="35"/>
      <c r="AL240" s="35"/>
      <c r="AM240" s="203"/>
      <c r="AN240" s="300"/>
      <c r="AO240" s="239"/>
      <c r="AP240" s="166">
        <v>23</v>
      </c>
      <c r="AQ240" s="167">
        <v>246</v>
      </c>
      <c r="AR240" s="168" t="s">
        <v>1</v>
      </c>
      <c r="AS240" s="169" t="s">
        <v>1</v>
      </c>
    </row>
    <row r="241" spans="1:49" ht="31.5" x14ac:dyDescent="0.2">
      <c r="A241" s="23" t="s">
        <v>1112</v>
      </c>
      <c r="B241" s="24" t="s">
        <v>1113</v>
      </c>
      <c r="C241" s="90">
        <f>33.645-0.849</f>
        <v>32.796000000000006</v>
      </c>
      <c r="D241" s="422">
        <f t="shared" si="10"/>
        <v>32.796000000000006</v>
      </c>
      <c r="E241" s="422">
        <f t="shared" si="11"/>
        <v>0</v>
      </c>
      <c r="F241" s="25" t="s">
        <v>68</v>
      </c>
      <c r="G241" s="26" t="s">
        <v>1114</v>
      </c>
      <c r="H241" s="188"/>
      <c r="I241" s="326"/>
      <c r="J241" s="250">
        <v>32.796000000000006</v>
      </c>
      <c r="K241" s="29" t="s">
        <v>1115</v>
      </c>
      <c r="L241" s="30"/>
      <c r="M241" s="30"/>
      <c r="N241" s="31"/>
      <c r="O241" s="31"/>
      <c r="P241" s="31"/>
      <c r="Q241" s="31"/>
      <c r="R241" s="30"/>
      <c r="S241" s="30"/>
      <c r="T241" s="30"/>
      <c r="U241" s="30"/>
      <c r="V241" s="28"/>
      <c r="W241" s="29"/>
      <c r="X241" s="149"/>
      <c r="Y241" s="249"/>
      <c r="Z241" s="299"/>
      <c r="AA241" s="32"/>
      <c r="AB241" s="32"/>
      <c r="AC241" s="35"/>
      <c r="AD241" s="32"/>
      <c r="AE241" s="34"/>
      <c r="AF241" s="34"/>
      <c r="AG241" s="34"/>
      <c r="AH241" s="34"/>
      <c r="AI241" s="35"/>
      <c r="AJ241" s="35"/>
      <c r="AK241" s="35"/>
      <c r="AL241" s="35"/>
      <c r="AM241" s="203"/>
      <c r="AN241" s="300"/>
      <c r="AO241" s="239"/>
      <c r="AP241" s="166">
        <v>11</v>
      </c>
      <c r="AQ241" s="167">
        <v>204</v>
      </c>
      <c r="AR241" s="168" t="s">
        <v>1</v>
      </c>
      <c r="AS241" s="169" t="s">
        <v>1</v>
      </c>
    </row>
    <row r="242" spans="1:49" ht="31.5" x14ac:dyDescent="0.2">
      <c r="A242" s="23" t="s">
        <v>1116</v>
      </c>
      <c r="B242" s="24" t="s">
        <v>1117</v>
      </c>
      <c r="C242" s="90">
        <f>16.825-0.286</f>
        <v>16.538999999999998</v>
      </c>
      <c r="D242" s="422">
        <f t="shared" si="10"/>
        <v>16.538999999999998</v>
      </c>
      <c r="E242" s="422">
        <f t="shared" si="11"/>
        <v>0</v>
      </c>
      <c r="F242" s="25" t="s">
        <v>68</v>
      </c>
      <c r="G242" s="26" t="s">
        <v>1118</v>
      </c>
      <c r="H242" s="188"/>
      <c r="I242" s="326"/>
      <c r="J242" s="250">
        <v>16.538999999999998</v>
      </c>
      <c r="K242" s="29" t="s">
        <v>1119</v>
      </c>
      <c r="L242" s="30">
        <v>2.2999999999999998</v>
      </c>
      <c r="M242" s="30" t="s">
        <v>1120</v>
      </c>
      <c r="N242" s="31">
        <v>6</v>
      </c>
      <c r="O242" s="31">
        <v>3</v>
      </c>
      <c r="P242" s="31">
        <v>5</v>
      </c>
      <c r="Q242" s="31">
        <v>0</v>
      </c>
      <c r="R242" s="30"/>
      <c r="S242" s="30"/>
      <c r="T242" s="30"/>
      <c r="U242" s="30"/>
      <c r="V242" s="28"/>
      <c r="W242" s="29"/>
      <c r="X242" s="149"/>
      <c r="Y242" s="249"/>
      <c r="Z242" s="299"/>
      <c r="AA242" s="32"/>
      <c r="AB242" s="32"/>
      <c r="AC242" s="35"/>
      <c r="AD242" s="32"/>
      <c r="AE242" s="34"/>
      <c r="AF242" s="34"/>
      <c r="AG242" s="34"/>
      <c r="AH242" s="34"/>
      <c r="AI242" s="35"/>
      <c r="AJ242" s="35"/>
      <c r="AK242" s="35"/>
      <c r="AL242" s="35"/>
      <c r="AM242" s="203"/>
      <c r="AN242" s="300"/>
      <c r="AO242" s="239"/>
      <c r="AP242" s="166">
        <v>6</v>
      </c>
      <c r="AQ242" s="167">
        <v>117</v>
      </c>
      <c r="AR242" s="168" t="s">
        <v>1</v>
      </c>
      <c r="AS242" s="169" t="s">
        <v>1</v>
      </c>
    </row>
    <row r="243" spans="1:49" ht="52.5" x14ac:dyDescent="0.2">
      <c r="A243" s="23" t="s">
        <v>1121</v>
      </c>
      <c r="B243" s="498" t="s">
        <v>1122</v>
      </c>
      <c r="C243" s="499">
        <f>37.214-4.728</f>
        <v>32.485999999999997</v>
      </c>
      <c r="D243" s="497">
        <f t="shared" si="10"/>
        <v>32.485999999999997</v>
      </c>
      <c r="E243" s="497">
        <f t="shared" si="11"/>
        <v>0</v>
      </c>
      <c r="F243" s="25" t="s">
        <v>210</v>
      </c>
      <c r="G243" s="26" t="s">
        <v>1123</v>
      </c>
      <c r="H243" s="188"/>
      <c r="I243" s="326" t="s">
        <v>1122</v>
      </c>
      <c r="J243" s="250">
        <v>12.214</v>
      </c>
      <c r="K243" s="29" t="s">
        <v>1124</v>
      </c>
      <c r="L243" s="62">
        <v>0</v>
      </c>
      <c r="M243" s="62">
        <v>0</v>
      </c>
      <c r="N243" s="63">
        <v>0</v>
      </c>
      <c r="O243" s="63">
        <v>0</v>
      </c>
      <c r="P243" s="63">
        <v>0</v>
      </c>
      <c r="Q243" s="63">
        <v>0</v>
      </c>
      <c r="R243" s="62">
        <v>6.1070000000000002</v>
      </c>
      <c r="S243" s="29"/>
      <c r="T243" s="63"/>
      <c r="U243" s="63"/>
      <c r="V243" s="28"/>
      <c r="W243" s="29"/>
      <c r="X243" s="149"/>
      <c r="Y243" s="249"/>
      <c r="Z243" s="308">
        <v>20.271999999999998</v>
      </c>
      <c r="AA243" s="71" t="s">
        <v>1125</v>
      </c>
      <c r="AB243" s="71"/>
      <c r="AC243" s="79">
        <v>0</v>
      </c>
      <c r="AD243" s="71"/>
      <c r="AE243" s="55">
        <v>0</v>
      </c>
      <c r="AF243" s="55">
        <v>0</v>
      </c>
      <c r="AG243" s="55">
        <v>0</v>
      </c>
      <c r="AH243" s="55">
        <v>0</v>
      </c>
      <c r="AI243" s="79">
        <v>10.135999999999999</v>
      </c>
      <c r="AJ243" s="79"/>
      <c r="AK243" s="79">
        <v>4.4240000000000004</v>
      </c>
      <c r="AL243" s="79" t="s">
        <v>1754</v>
      </c>
      <c r="AM243" s="203"/>
      <c r="AN243" s="300"/>
      <c r="AO243" s="239" t="s">
        <v>1126</v>
      </c>
      <c r="AP243" s="174">
        <v>0</v>
      </c>
      <c r="AQ243" s="167">
        <v>250</v>
      </c>
      <c r="AR243" s="168" t="s">
        <v>32</v>
      </c>
      <c r="AS243" s="169" t="s">
        <v>51</v>
      </c>
      <c r="AT243" s="156">
        <v>9.9600000000000009</v>
      </c>
      <c r="AU243" s="156">
        <v>11.052</v>
      </c>
      <c r="AV243" s="156">
        <f t="shared" ref="AV243" si="15">AU243-AT243</f>
        <v>1.0919999999999987</v>
      </c>
      <c r="AW243" s="156">
        <v>6</v>
      </c>
    </row>
    <row r="244" spans="1:49" ht="94.5" x14ac:dyDescent="0.2">
      <c r="A244" s="23" t="s">
        <v>1127</v>
      </c>
      <c r="B244" s="498" t="s">
        <v>1128</v>
      </c>
      <c r="C244" s="499">
        <f>22.185-0.167</f>
        <v>22.017999999999997</v>
      </c>
      <c r="D244" s="497">
        <f t="shared" si="10"/>
        <v>22.018000000000001</v>
      </c>
      <c r="E244" s="497">
        <f t="shared" si="11"/>
        <v>0</v>
      </c>
      <c r="F244" s="25" t="s">
        <v>210</v>
      </c>
      <c r="G244" s="26" t="s">
        <v>1129</v>
      </c>
      <c r="H244" s="188"/>
      <c r="I244" s="326" t="s">
        <v>1128</v>
      </c>
      <c r="J244" s="250">
        <v>18.518000000000001</v>
      </c>
      <c r="K244" s="117" t="s">
        <v>1786</v>
      </c>
      <c r="L244" s="57">
        <v>0</v>
      </c>
      <c r="M244" s="57">
        <v>0</v>
      </c>
      <c r="N244" s="58">
        <v>0</v>
      </c>
      <c r="O244" s="58">
        <v>0</v>
      </c>
      <c r="P244" s="58">
        <v>0</v>
      </c>
      <c r="Q244" s="58">
        <v>0</v>
      </c>
      <c r="R244" s="62">
        <v>9.2424999999999997</v>
      </c>
      <c r="S244" s="369"/>
      <c r="T244" s="63"/>
      <c r="U244" s="63"/>
      <c r="V244" s="28"/>
      <c r="W244" s="29"/>
      <c r="X244" s="149"/>
      <c r="Y244" s="249"/>
      <c r="Z244" s="309">
        <v>3.5</v>
      </c>
      <c r="AA244" s="83" t="s">
        <v>1130</v>
      </c>
      <c r="AB244" s="98"/>
      <c r="AC244" s="84"/>
      <c r="AD244" s="83"/>
      <c r="AE244" s="55">
        <v>0</v>
      </c>
      <c r="AF244" s="55">
        <v>0</v>
      </c>
      <c r="AG244" s="55">
        <v>0</v>
      </c>
      <c r="AH244" s="55">
        <v>0</v>
      </c>
      <c r="AI244" s="84">
        <v>3.5</v>
      </c>
      <c r="AJ244" s="84"/>
      <c r="AK244" s="98">
        <v>3.5</v>
      </c>
      <c r="AL244" s="83" t="s">
        <v>1130</v>
      </c>
      <c r="AM244" s="203"/>
      <c r="AN244" s="300"/>
      <c r="AO244" s="239"/>
      <c r="AP244" s="166">
        <v>0</v>
      </c>
      <c r="AQ244" s="167">
        <v>180</v>
      </c>
      <c r="AR244" s="168" t="s">
        <v>1</v>
      </c>
      <c r="AS244" s="169" t="s">
        <v>1</v>
      </c>
      <c r="AT244" s="156"/>
    </row>
    <row r="245" spans="1:49" ht="63" x14ac:dyDescent="0.2">
      <c r="A245" s="23" t="s">
        <v>1131</v>
      </c>
      <c r="B245" s="498" t="s">
        <v>1132</v>
      </c>
      <c r="C245" s="499">
        <f>92.804-0.533</f>
        <v>92.271000000000001</v>
      </c>
      <c r="D245" s="497">
        <f t="shared" si="10"/>
        <v>92.271000000000001</v>
      </c>
      <c r="E245" s="497">
        <f t="shared" si="11"/>
        <v>0</v>
      </c>
      <c r="F245" s="25" t="s">
        <v>1133</v>
      </c>
      <c r="G245" s="38" t="s">
        <v>1134</v>
      </c>
      <c r="H245" s="188" t="s">
        <v>1135</v>
      </c>
      <c r="I245" s="326" t="s">
        <v>1132</v>
      </c>
      <c r="J245" s="250">
        <v>52.121000000000002</v>
      </c>
      <c r="K245" s="29" t="s">
        <v>1787</v>
      </c>
      <c r="L245" s="57">
        <v>47.3</v>
      </c>
      <c r="M245" s="46" t="s">
        <v>1137</v>
      </c>
      <c r="N245" s="47">
        <v>81</v>
      </c>
      <c r="O245" s="47">
        <v>0</v>
      </c>
      <c r="P245" s="47">
        <v>5</v>
      </c>
      <c r="Q245" s="47">
        <v>5</v>
      </c>
      <c r="R245" s="46"/>
      <c r="S245" s="62"/>
      <c r="T245" s="46"/>
      <c r="U245" s="46"/>
      <c r="V245" s="28">
        <v>47.720999999999997</v>
      </c>
      <c r="W245" s="29" t="s">
        <v>1136</v>
      </c>
      <c r="X245" s="149"/>
      <c r="Y245" s="150" t="s">
        <v>1787</v>
      </c>
      <c r="Z245" s="308">
        <v>40.15</v>
      </c>
      <c r="AA245" s="71" t="s">
        <v>1692</v>
      </c>
      <c r="AB245" s="248">
        <v>38.25</v>
      </c>
      <c r="AC245" s="89">
        <v>0</v>
      </c>
      <c r="AD245" s="248">
        <v>0</v>
      </c>
      <c r="AE245" s="317">
        <v>0</v>
      </c>
      <c r="AF245" s="317">
        <v>0</v>
      </c>
      <c r="AG245" s="317">
        <v>0</v>
      </c>
      <c r="AH245" s="317">
        <v>0</v>
      </c>
      <c r="AI245" s="89">
        <v>1.9</v>
      </c>
      <c r="AJ245" s="248" t="s">
        <v>1693</v>
      </c>
      <c r="AK245" s="89">
        <v>1.9</v>
      </c>
      <c r="AL245" s="248" t="s">
        <v>1693</v>
      </c>
      <c r="AM245" s="308">
        <v>40.15</v>
      </c>
      <c r="AN245" s="71" t="s">
        <v>1692</v>
      </c>
      <c r="AO245" s="239" t="s">
        <v>1138</v>
      </c>
      <c r="AP245" s="166">
        <v>3</v>
      </c>
      <c r="AQ245" s="167">
        <v>191</v>
      </c>
      <c r="AR245" s="168" t="s">
        <v>60</v>
      </c>
      <c r="AS245" s="169" t="s">
        <v>33</v>
      </c>
      <c r="AT245" s="156">
        <v>62.851999999999997</v>
      </c>
      <c r="AU245" s="156">
        <v>63.709000000000003</v>
      </c>
      <c r="AV245" s="156">
        <f t="shared" ref="AV245" si="16">AU245-AT245</f>
        <v>0.85700000000000642</v>
      </c>
      <c r="AW245" s="156">
        <v>6</v>
      </c>
    </row>
    <row r="246" spans="1:49" ht="21" x14ac:dyDescent="0.2">
      <c r="A246" s="23" t="s">
        <v>1139</v>
      </c>
      <c r="B246" s="24" t="s">
        <v>1140</v>
      </c>
      <c r="C246" s="90">
        <f>59.46-1.171</f>
        <v>58.289000000000001</v>
      </c>
      <c r="D246" s="422">
        <f t="shared" si="10"/>
        <v>58.289000000000001</v>
      </c>
      <c r="E246" s="422">
        <f t="shared" si="11"/>
        <v>0</v>
      </c>
      <c r="F246" s="25" t="s">
        <v>210</v>
      </c>
      <c r="G246" s="26" t="s">
        <v>1141</v>
      </c>
      <c r="H246" s="188"/>
      <c r="I246" s="326"/>
      <c r="J246" s="250">
        <v>58.289000000000001</v>
      </c>
      <c r="K246" s="29" t="s">
        <v>1142</v>
      </c>
      <c r="L246" s="30">
        <v>55.8</v>
      </c>
      <c r="M246" s="30" t="s">
        <v>1143</v>
      </c>
      <c r="N246" s="31">
        <v>228</v>
      </c>
      <c r="O246" s="31">
        <v>0</v>
      </c>
      <c r="P246" s="31">
        <v>15</v>
      </c>
      <c r="Q246" s="31">
        <v>16</v>
      </c>
      <c r="R246" s="30"/>
      <c r="S246" s="30"/>
      <c r="T246" s="208"/>
      <c r="U246" s="208"/>
      <c r="V246" s="263"/>
      <c r="W246" s="263"/>
      <c r="X246" s="263"/>
      <c r="Y246" s="264"/>
      <c r="Z246" s="299"/>
      <c r="AA246" s="32"/>
      <c r="AB246" s="32"/>
      <c r="AC246" s="35"/>
      <c r="AD246" s="32"/>
      <c r="AE246" s="34"/>
      <c r="AF246" s="34"/>
      <c r="AG246" s="34"/>
      <c r="AH246" s="34"/>
      <c r="AI246" s="35"/>
      <c r="AJ246" s="35"/>
      <c r="AK246" s="214"/>
      <c r="AL246" s="214"/>
      <c r="AM246" s="311"/>
      <c r="AN246" s="312"/>
      <c r="AO246" s="239"/>
      <c r="AP246" s="166">
        <v>244</v>
      </c>
      <c r="AQ246" s="167">
        <v>356</v>
      </c>
      <c r="AR246" s="168" t="s">
        <v>1</v>
      </c>
      <c r="AS246" s="169" t="s">
        <v>1</v>
      </c>
      <c r="AT246" s="156"/>
    </row>
    <row r="247" spans="1:49" ht="21" x14ac:dyDescent="0.2">
      <c r="A247" s="23" t="s">
        <v>1144</v>
      </c>
      <c r="B247" s="24" t="s">
        <v>1145</v>
      </c>
      <c r="C247" s="90">
        <f>24.303-0.276</f>
        <v>24.027000000000001</v>
      </c>
      <c r="D247" s="422">
        <f t="shared" si="10"/>
        <v>24.027000000000001</v>
      </c>
      <c r="E247" s="422">
        <f t="shared" si="11"/>
        <v>0</v>
      </c>
      <c r="F247" s="25" t="s">
        <v>210</v>
      </c>
      <c r="G247" s="26" t="s">
        <v>1146</v>
      </c>
      <c r="H247" s="188"/>
      <c r="I247" s="327" t="s">
        <v>1145</v>
      </c>
      <c r="J247" s="250">
        <v>24.027000000000001</v>
      </c>
      <c r="K247" s="29" t="s">
        <v>1147</v>
      </c>
      <c r="L247" s="57">
        <v>0</v>
      </c>
      <c r="M247" s="57">
        <v>0</v>
      </c>
      <c r="N247" s="58">
        <v>0</v>
      </c>
      <c r="O247" s="58">
        <v>0</v>
      </c>
      <c r="P247" s="58">
        <v>0</v>
      </c>
      <c r="Q247" s="58">
        <v>0</v>
      </c>
      <c r="R247" s="62">
        <v>12.013500000000001</v>
      </c>
      <c r="S247" s="30"/>
      <c r="T247" s="63"/>
      <c r="U247" s="63"/>
      <c r="V247" s="263"/>
      <c r="W247" s="263"/>
      <c r="X247" s="263"/>
      <c r="Y247" s="264"/>
      <c r="Z247" s="299"/>
      <c r="AA247" s="32"/>
      <c r="AB247" s="32"/>
      <c r="AC247" s="35"/>
      <c r="AD247" s="32"/>
      <c r="AE247" s="34"/>
      <c r="AF247" s="34"/>
      <c r="AG247" s="34"/>
      <c r="AH247" s="34"/>
      <c r="AI247" s="35"/>
      <c r="AJ247" s="35"/>
      <c r="AK247" s="214"/>
      <c r="AL247" s="214"/>
      <c r="AM247" s="311"/>
      <c r="AN247" s="312"/>
      <c r="AO247" s="239"/>
      <c r="AP247" s="166">
        <v>0</v>
      </c>
      <c r="AQ247" s="167">
        <v>164</v>
      </c>
      <c r="AR247" s="168" t="s">
        <v>1</v>
      </c>
      <c r="AS247" s="169" t="s">
        <v>1</v>
      </c>
      <c r="AT247" s="156"/>
    </row>
    <row r="248" spans="1:49" ht="52.5" x14ac:dyDescent="0.2">
      <c r="A248" s="23">
        <v>1851</v>
      </c>
      <c r="B248" s="24" t="s">
        <v>1148</v>
      </c>
      <c r="C248" s="90">
        <f>68.873-0.451</f>
        <v>68.422000000000011</v>
      </c>
      <c r="D248" s="422">
        <f t="shared" si="10"/>
        <v>68.421999999999997</v>
      </c>
      <c r="E248" s="422">
        <f t="shared" si="11"/>
        <v>0</v>
      </c>
      <c r="F248" s="25" t="s">
        <v>1149</v>
      </c>
      <c r="G248" s="38" t="s">
        <v>1150</v>
      </c>
      <c r="H248" s="188" t="s">
        <v>1150</v>
      </c>
      <c r="I248" s="326"/>
      <c r="J248" s="500">
        <v>4.6459999999999937</v>
      </c>
      <c r="K248" s="482" t="s">
        <v>1755</v>
      </c>
      <c r="L248" s="57">
        <v>0</v>
      </c>
      <c r="M248" s="57">
        <v>0</v>
      </c>
      <c r="N248" s="58">
        <v>0</v>
      </c>
      <c r="O248" s="58">
        <v>0</v>
      </c>
      <c r="P248" s="58">
        <v>0</v>
      </c>
      <c r="Q248" s="58">
        <v>0</v>
      </c>
      <c r="R248" s="28">
        <v>2.3229999999999968</v>
      </c>
      <c r="S248" s="28"/>
      <c r="T248" s="28"/>
      <c r="U248" s="28"/>
      <c r="V248" s="27"/>
      <c r="W248" s="27"/>
      <c r="X248" s="150"/>
      <c r="Y248" s="249"/>
      <c r="Z248" s="301">
        <v>63.776000000000003</v>
      </c>
      <c r="AA248" s="76" t="s">
        <v>1756</v>
      </c>
      <c r="AB248" s="52">
        <v>20</v>
      </c>
      <c r="AC248" s="87">
        <v>7.7</v>
      </c>
      <c r="AD248" s="52" t="s">
        <v>1151</v>
      </c>
      <c r="AE248" s="52">
        <v>13</v>
      </c>
      <c r="AF248" s="52">
        <v>0</v>
      </c>
      <c r="AG248" s="52">
        <v>0</v>
      </c>
      <c r="AH248" s="52">
        <v>1</v>
      </c>
      <c r="AI248" s="52">
        <v>29.954999999999998</v>
      </c>
      <c r="AJ248" s="76" t="s">
        <v>1757</v>
      </c>
      <c r="AK248" s="52">
        <v>0</v>
      </c>
      <c r="AL248" s="52">
        <v>0</v>
      </c>
      <c r="AM248" s="76">
        <f>45.259+23.463</f>
        <v>68.722000000000008</v>
      </c>
      <c r="AN248" s="304" t="s">
        <v>1628</v>
      </c>
      <c r="AO248" s="239"/>
      <c r="AP248" s="166">
        <v>14</v>
      </c>
      <c r="AQ248" s="167">
        <v>0</v>
      </c>
      <c r="AR248" s="168" t="s">
        <v>60</v>
      </c>
      <c r="AS248" s="169" t="s">
        <v>51</v>
      </c>
      <c r="AT248" s="156"/>
    </row>
    <row r="249" spans="1:49" ht="31.5" x14ac:dyDescent="0.2">
      <c r="A249" s="23" t="s">
        <v>1152</v>
      </c>
      <c r="B249" s="24" t="s">
        <v>1153</v>
      </c>
      <c r="C249" s="90">
        <f>23.3-0.583</f>
        <v>22.717000000000002</v>
      </c>
      <c r="D249" s="422">
        <f t="shared" si="10"/>
        <v>22.231000000000002</v>
      </c>
      <c r="E249" s="422">
        <f t="shared" si="11"/>
        <v>-0.48600000000000065</v>
      </c>
      <c r="F249" s="25" t="s">
        <v>731</v>
      </c>
      <c r="G249" s="118"/>
      <c r="H249" s="188" t="s">
        <v>1154</v>
      </c>
      <c r="I249" s="326"/>
      <c r="J249" s="257"/>
      <c r="K249" s="27"/>
      <c r="L249" s="91"/>
      <c r="M249" s="27"/>
      <c r="N249" s="92"/>
      <c r="O249" s="92"/>
      <c r="P249" s="92"/>
      <c r="Q249" s="92"/>
      <c r="R249" s="91"/>
      <c r="S249" s="91"/>
      <c r="T249" s="91"/>
      <c r="U249" s="91"/>
      <c r="V249" s="27"/>
      <c r="W249" s="27"/>
      <c r="X249" s="150"/>
      <c r="Y249" s="249"/>
      <c r="Z249" s="308">
        <v>22.231000000000002</v>
      </c>
      <c r="AA249" s="59" t="s">
        <v>1155</v>
      </c>
      <c r="AB249" s="247">
        <v>0</v>
      </c>
      <c r="AC249" s="109">
        <f>22.9-0.583</f>
        <v>22.317</v>
      </c>
      <c r="AD249" s="52" t="s">
        <v>1156</v>
      </c>
      <c r="AE249" s="337">
        <v>79</v>
      </c>
      <c r="AF249" s="337">
        <v>0</v>
      </c>
      <c r="AG249" s="337">
        <v>76</v>
      </c>
      <c r="AH249" s="337">
        <v>0</v>
      </c>
      <c r="AI249" s="52">
        <v>0</v>
      </c>
      <c r="AJ249" s="52">
        <v>0</v>
      </c>
      <c r="AK249" s="52">
        <v>5</v>
      </c>
      <c r="AL249" s="52" t="s">
        <v>1669</v>
      </c>
      <c r="AM249" s="71">
        <v>22.231000000000002</v>
      </c>
      <c r="AN249" s="205" t="s">
        <v>1155</v>
      </c>
      <c r="AO249" s="239"/>
      <c r="AP249" s="179">
        <v>0</v>
      </c>
      <c r="AQ249" s="167">
        <v>0</v>
      </c>
      <c r="AR249" s="168" t="s">
        <v>60</v>
      </c>
      <c r="AS249" s="169" t="s">
        <v>51</v>
      </c>
    </row>
    <row r="250" spans="1:49" ht="21" x14ac:dyDescent="0.2">
      <c r="A250" s="23" t="s">
        <v>1157</v>
      </c>
      <c r="B250" s="24" t="s">
        <v>1158</v>
      </c>
      <c r="C250" s="90">
        <f>67.577-36.373</f>
        <v>31.204000000000001</v>
      </c>
      <c r="D250" s="422">
        <f t="shared" si="10"/>
        <v>31.204000000000001</v>
      </c>
      <c r="E250" s="422">
        <f t="shared" si="11"/>
        <v>0</v>
      </c>
      <c r="F250" s="25" t="s">
        <v>731</v>
      </c>
      <c r="G250" s="118"/>
      <c r="H250" s="188" t="s">
        <v>1159</v>
      </c>
      <c r="I250" s="326"/>
      <c r="J250" s="257"/>
      <c r="K250" s="27"/>
      <c r="L250" s="91"/>
      <c r="M250" s="91"/>
      <c r="N250" s="92"/>
      <c r="O250" s="92"/>
      <c r="P250" s="92"/>
      <c r="Q250" s="92"/>
      <c r="R250" s="91"/>
      <c r="S250" s="91"/>
      <c r="T250" s="91"/>
      <c r="U250" s="91"/>
      <c r="V250" s="27"/>
      <c r="W250" s="27"/>
      <c r="X250" s="150"/>
      <c r="Y250" s="249"/>
      <c r="Z250" s="308">
        <v>31.204000000000001</v>
      </c>
      <c r="AA250" s="59" t="s">
        <v>1160</v>
      </c>
      <c r="AB250" s="247">
        <v>2.7269999999999999</v>
      </c>
      <c r="AC250" s="71">
        <v>27.2</v>
      </c>
      <c r="AD250" s="52" t="s">
        <v>1161</v>
      </c>
      <c r="AE250" s="337">
        <v>103</v>
      </c>
      <c r="AF250" s="337">
        <v>0</v>
      </c>
      <c r="AG250" s="337">
        <v>90</v>
      </c>
      <c r="AH250" s="337">
        <v>0</v>
      </c>
      <c r="AI250" s="338">
        <f>67.577-66.3</f>
        <v>1.277000000000001</v>
      </c>
      <c r="AJ250" s="52" t="s">
        <v>1162</v>
      </c>
      <c r="AK250" s="52"/>
      <c r="AL250" s="52"/>
      <c r="AM250" s="71">
        <v>31.204000000000001</v>
      </c>
      <c r="AN250" s="205" t="s">
        <v>1160</v>
      </c>
      <c r="AO250" s="239"/>
      <c r="AP250" s="166">
        <v>0</v>
      </c>
      <c r="AQ250" s="167">
        <v>0</v>
      </c>
      <c r="AR250" s="168" t="s">
        <v>60</v>
      </c>
      <c r="AS250" s="169" t="s">
        <v>51</v>
      </c>
    </row>
    <row r="251" spans="1:49" ht="42" x14ac:dyDescent="0.2">
      <c r="A251" s="23" t="s">
        <v>1163</v>
      </c>
      <c r="B251" s="24" t="s">
        <v>1164</v>
      </c>
      <c r="C251" s="90">
        <f>5.521-0.132</f>
        <v>5.3890000000000002</v>
      </c>
      <c r="D251" s="422">
        <f t="shared" si="10"/>
        <v>5.3890000000000002</v>
      </c>
      <c r="E251" s="422">
        <f t="shared" si="11"/>
        <v>0</v>
      </c>
      <c r="F251" s="25" t="s">
        <v>627</v>
      </c>
      <c r="G251" s="26" t="s">
        <v>1165</v>
      </c>
      <c r="H251" s="188"/>
      <c r="I251" s="326"/>
      <c r="J251" s="257"/>
      <c r="K251" s="27"/>
      <c r="L251" s="69"/>
      <c r="M251" s="27"/>
      <c r="N251" s="37"/>
      <c r="O251" s="37"/>
      <c r="P251" s="37"/>
      <c r="Q251" s="37"/>
      <c r="R251" s="69"/>
      <c r="S251" s="27"/>
      <c r="T251" s="69"/>
      <c r="U251" s="69"/>
      <c r="V251" s="27"/>
      <c r="W251" s="27"/>
      <c r="X251" s="150"/>
      <c r="Y251" s="370"/>
      <c r="Z251" s="71">
        <v>5.3890000000000002</v>
      </c>
      <c r="AA251" s="71" t="s">
        <v>1166</v>
      </c>
      <c r="AB251" s="79"/>
      <c r="AC251" s="79"/>
      <c r="AD251" s="76"/>
      <c r="AE251" s="76"/>
      <c r="AF251" s="76"/>
      <c r="AG251" s="76"/>
      <c r="AH251" s="76"/>
      <c r="AI251" s="76">
        <v>2.7</v>
      </c>
      <c r="AJ251" s="76" t="s">
        <v>1166</v>
      </c>
      <c r="AK251" s="76"/>
      <c r="AL251" s="76"/>
      <c r="AM251" s="248"/>
      <c r="AN251" s="205"/>
      <c r="AO251" s="239"/>
      <c r="AP251" s="166">
        <v>0</v>
      </c>
      <c r="AQ251" s="167">
        <v>0</v>
      </c>
      <c r="AR251" s="168" t="s">
        <v>60</v>
      </c>
      <c r="AS251" s="169" t="s">
        <v>51</v>
      </c>
      <c r="AT251" s="156"/>
    </row>
    <row r="252" spans="1:49" ht="42" x14ac:dyDescent="0.2">
      <c r="A252" s="23" t="s">
        <v>1167</v>
      </c>
      <c r="B252" s="24" t="s">
        <v>1168</v>
      </c>
      <c r="C252" s="90">
        <f>249.031-246.667</f>
        <v>2.3640000000000043</v>
      </c>
      <c r="D252" s="422">
        <f t="shared" si="10"/>
        <v>2.3640000000000043</v>
      </c>
      <c r="E252" s="422">
        <f t="shared" si="11"/>
        <v>0</v>
      </c>
      <c r="F252" s="25" t="s">
        <v>627</v>
      </c>
      <c r="G252" s="26" t="s">
        <v>1169</v>
      </c>
      <c r="H252" s="188"/>
      <c r="I252" s="326"/>
      <c r="J252" s="252">
        <v>2.3640000000000043</v>
      </c>
      <c r="K252" s="29" t="s">
        <v>1170</v>
      </c>
      <c r="L252" s="94"/>
      <c r="M252" s="30"/>
      <c r="N252" s="31"/>
      <c r="O252" s="31"/>
      <c r="P252" s="31"/>
      <c r="Q252" s="31"/>
      <c r="R252" s="94">
        <v>1.2</v>
      </c>
      <c r="S252" s="30" t="s">
        <v>1170</v>
      </c>
      <c r="T252" s="94"/>
      <c r="U252" s="94"/>
      <c r="V252" s="27"/>
      <c r="W252" s="27"/>
      <c r="X252" s="150"/>
      <c r="Y252" s="370"/>
      <c r="Z252" s="27"/>
      <c r="AA252" s="33"/>
      <c r="AB252" s="69"/>
      <c r="AC252" s="69"/>
      <c r="AD252" s="33"/>
      <c r="AE252" s="37"/>
      <c r="AF252" s="37"/>
      <c r="AG252" s="37"/>
      <c r="AH252" s="37"/>
      <c r="AI252" s="69"/>
      <c r="AJ252" s="69"/>
      <c r="AK252" s="69"/>
      <c r="AL252" s="69"/>
      <c r="AM252" s="248"/>
      <c r="AN252" s="205"/>
      <c r="AO252" s="239"/>
      <c r="AP252" s="166">
        <v>0</v>
      </c>
      <c r="AQ252" s="167">
        <v>0</v>
      </c>
      <c r="AR252" s="168" t="s">
        <v>60</v>
      </c>
      <c r="AS252" s="169" t="s">
        <v>51</v>
      </c>
      <c r="AT252" s="156"/>
    </row>
    <row r="253" spans="1:49" ht="42" x14ac:dyDescent="0.2">
      <c r="A253" s="23" t="s">
        <v>1171</v>
      </c>
      <c r="B253" s="24" t="s">
        <v>1172</v>
      </c>
      <c r="C253" s="90">
        <f>248.977-246.625</f>
        <v>2.3520000000000039</v>
      </c>
      <c r="D253" s="422">
        <f t="shared" si="10"/>
        <v>2.3520000000000039</v>
      </c>
      <c r="E253" s="422">
        <f t="shared" si="11"/>
        <v>0</v>
      </c>
      <c r="F253" s="25" t="s">
        <v>627</v>
      </c>
      <c r="G253" s="26" t="s">
        <v>1173</v>
      </c>
      <c r="H253" s="188"/>
      <c r="I253" s="326"/>
      <c r="J253" s="252">
        <v>2.3520000000000039</v>
      </c>
      <c r="K253" s="29" t="s">
        <v>1174</v>
      </c>
      <c r="L253" s="94"/>
      <c r="M253" s="30"/>
      <c r="N253" s="31"/>
      <c r="O253" s="31"/>
      <c r="P253" s="31"/>
      <c r="Q253" s="31"/>
      <c r="R253" s="94">
        <v>1.2</v>
      </c>
      <c r="S253" s="30" t="s">
        <v>1174</v>
      </c>
      <c r="T253" s="94"/>
      <c r="U253" s="94"/>
      <c r="V253" s="27"/>
      <c r="W253" s="27"/>
      <c r="X253" s="150"/>
      <c r="Y253" s="370"/>
      <c r="Z253" s="27"/>
      <c r="AA253" s="33"/>
      <c r="AB253" s="69"/>
      <c r="AC253" s="69"/>
      <c r="AD253" s="33"/>
      <c r="AE253" s="37"/>
      <c r="AF253" s="37"/>
      <c r="AG253" s="37"/>
      <c r="AH253" s="37"/>
      <c r="AI253" s="69"/>
      <c r="AJ253" s="69"/>
      <c r="AK253" s="69"/>
      <c r="AL253" s="69"/>
      <c r="AM253" s="248"/>
      <c r="AN253" s="205"/>
      <c r="AO253" s="239"/>
      <c r="AP253" s="166">
        <v>0</v>
      </c>
      <c r="AQ253" s="167">
        <v>0</v>
      </c>
      <c r="AR253" s="168" t="s">
        <v>60</v>
      </c>
      <c r="AS253" s="169" t="s">
        <v>51</v>
      </c>
      <c r="AT253" s="156"/>
    </row>
    <row r="254" spans="1:49" ht="52.5" x14ac:dyDescent="0.2">
      <c r="A254" s="23" t="s">
        <v>1175</v>
      </c>
      <c r="B254" s="498" t="s">
        <v>1799</v>
      </c>
      <c r="C254" s="499">
        <f>4.337-0.017</f>
        <v>4.3199999999999994</v>
      </c>
      <c r="D254" s="497">
        <f t="shared" si="10"/>
        <v>4.32</v>
      </c>
      <c r="E254" s="497">
        <f t="shared" si="11"/>
        <v>0</v>
      </c>
      <c r="F254" s="25" t="s">
        <v>627</v>
      </c>
      <c r="G254" s="38" t="s">
        <v>1176</v>
      </c>
      <c r="H254" s="188" t="s">
        <v>1176</v>
      </c>
      <c r="I254" s="326"/>
      <c r="J254" s="252">
        <v>2.597</v>
      </c>
      <c r="K254" s="29" t="s">
        <v>1177</v>
      </c>
      <c r="L254" s="94"/>
      <c r="M254" s="30"/>
      <c r="N254" s="30"/>
      <c r="O254" s="30"/>
      <c r="P254" s="30"/>
      <c r="Q254" s="30"/>
      <c r="R254" s="30">
        <v>1.1000000000000001</v>
      </c>
      <c r="S254" s="30" t="s">
        <v>1177</v>
      </c>
      <c r="T254" s="30"/>
      <c r="U254" s="30"/>
      <c r="V254" s="27"/>
      <c r="W254" s="27"/>
      <c r="X254" s="150"/>
      <c r="Y254" s="370"/>
      <c r="Z254" s="71">
        <v>1.7230000000000001</v>
      </c>
      <c r="AA254" s="71" t="s">
        <v>1178</v>
      </c>
      <c r="AB254" s="79"/>
      <c r="AC254" s="74"/>
      <c r="AD254" s="79"/>
      <c r="AE254" s="79"/>
      <c r="AF254" s="79"/>
      <c r="AG254" s="79"/>
      <c r="AH254" s="79"/>
      <c r="AI254" s="79">
        <v>0.9</v>
      </c>
      <c r="AJ254" s="79" t="s">
        <v>1179</v>
      </c>
      <c r="AK254" s="79"/>
      <c r="AL254" s="79"/>
      <c r="AM254" s="248"/>
      <c r="AN254" s="205"/>
      <c r="AO254" s="239"/>
      <c r="AP254" s="166">
        <v>0</v>
      </c>
      <c r="AQ254" s="167">
        <v>0</v>
      </c>
      <c r="AR254" s="168" t="s">
        <v>60</v>
      </c>
      <c r="AS254" s="169" t="s">
        <v>51</v>
      </c>
      <c r="AT254" s="156"/>
    </row>
    <row r="255" spans="1:49" ht="42" x14ac:dyDescent="0.2">
      <c r="A255" s="23" t="s">
        <v>1180</v>
      </c>
      <c r="B255" s="24" t="s">
        <v>1181</v>
      </c>
      <c r="C255" s="90">
        <f>7.142-0.838</f>
        <v>6.3040000000000003</v>
      </c>
      <c r="D255" s="422">
        <f t="shared" si="10"/>
        <v>6.3040000000000003</v>
      </c>
      <c r="E255" s="422">
        <f t="shared" si="11"/>
        <v>0</v>
      </c>
      <c r="F255" s="25" t="s">
        <v>627</v>
      </c>
      <c r="G255" s="26" t="s">
        <v>1182</v>
      </c>
      <c r="H255" s="188"/>
      <c r="I255" s="326"/>
      <c r="J255" s="252">
        <v>6.3040000000000003</v>
      </c>
      <c r="K255" s="29" t="s">
        <v>1183</v>
      </c>
      <c r="L255" s="94"/>
      <c r="M255" s="30"/>
      <c r="N255" s="30"/>
      <c r="O255" s="30"/>
      <c r="P255" s="30"/>
      <c r="Q255" s="30"/>
      <c r="R255" s="30">
        <v>3.2</v>
      </c>
      <c r="S255" s="30" t="s">
        <v>1183</v>
      </c>
      <c r="T255" s="30"/>
      <c r="U255" s="30"/>
      <c r="V255" s="27"/>
      <c r="W255" s="27"/>
      <c r="X255" s="150"/>
      <c r="Y255" s="370"/>
      <c r="Z255" s="27"/>
      <c r="AA255" s="33"/>
      <c r="AB255" s="69"/>
      <c r="AC255" s="69"/>
      <c r="AD255" s="33"/>
      <c r="AE255" s="37"/>
      <c r="AF255" s="37"/>
      <c r="AG255" s="37"/>
      <c r="AH255" s="37"/>
      <c r="AI255" s="69"/>
      <c r="AJ255" s="69"/>
      <c r="AK255" s="69"/>
      <c r="AL255" s="69"/>
      <c r="AM255" s="248"/>
      <c r="AN255" s="205"/>
      <c r="AO255" s="239"/>
      <c r="AP255" s="166">
        <v>0</v>
      </c>
      <c r="AQ255" s="167">
        <v>0</v>
      </c>
      <c r="AR255" s="168" t="s">
        <v>60</v>
      </c>
      <c r="AS255" s="169" t="s">
        <v>51</v>
      </c>
      <c r="AT255" s="156"/>
    </row>
    <row r="256" spans="1:49" ht="31.5" x14ac:dyDescent="0.2">
      <c r="A256" s="23" t="s">
        <v>1184</v>
      </c>
      <c r="B256" s="24" t="s">
        <v>1185</v>
      </c>
      <c r="C256" s="90">
        <f>1.055+240.833-240.513</f>
        <v>1.375</v>
      </c>
      <c r="D256" s="422">
        <f t="shared" si="10"/>
        <v>1.3749999999999931</v>
      </c>
      <c r="E256" s="422">
        <f t="shared" si="11"/>
        <v>-6.8833827526759706E-15</v>
      </c>
      <c r="F256" s="25" t="s">
        <v>627</v>
      </c>
      <c r="G256" s="26" t="s">
        <v>1186</v>
      </c>
      <c r="H256" s="188"/>
      <c r="I256" s="327" t="s">
        <v>1185</v>
      </c>
      <c r="J256" s="250">
        <v>1.3749999999999931</v>
      </c>
      <c r="K256" s="40" t="s">
        <v>1187</v>
      </c>
      <c r="L256" s="119"/>
      <c r="M256" s="41"/>
      <c r="N256" s="42"/>
      <c r="O256" s="42"/>
      <c r="P256" s="42"/>
      <c r="Q256" s="42"/>
      <c r="R256" s="119">
        <v>0.7</v>
      </c>
      <c r="S256" s="30" t="s">
        <v>1763</v>
      </c>
      <c r="T256" s="119"/>
      <c r="U256" s="119"/>
      <c r="V256" s="27"/>
      <c r="W256" s="27"/>
      <c r="X256" s="150"/>
      <c r="Y256" s="370"/>
      <c r="Z256" s="527"/>
      <c r="AA256" s="412"/>
      <c r="AB256" s="411"/>
      <c r="AC256" s="411"/>
      <c r="AD256" s="412"/>
      <c r="AE256" s="413"/>
      <c r="AF256" s="413"/>
      <c r="AG256" s="413"/>
      <c r="AH256" s="413"/>
      <c r="AI256" s="411"/>
      <c r="AJ256" s="411"/>
      <c r="AK256" s="411"/>
      <c r="AL256" s="411"/>
      <c r="AM256" s="248"/>
      <c r="AN256" s="205"/>
      <c r="AO256" s="239"/>
      <c r="AP256" s="166">
        <v>0</v>
      </c>
      <c r="AQ256" s="167">
        <v>0</v>
      </c>
      <c r="AR256" s="168" t="s">
        <v>60</v>
      </c>
      <c r="AS256" s="169" t="s">
        <v>51</v>
      </c>
      <c r="AT256" s="156"/>
    </row>
    <row r="257" spans="1:50" ht="21" x14ac:dyDescent="0.2">
      <c r="A257" s="23" t="s">
        <v>1188</v>
      </c>
      <c r="B257" s="24" t="s">
        <v>1189</v>
      </c>
      <c r="C257" s="90">
        <f>241.453-240.568</f>
        <v>0.88499999999999091</v>
      </c>
      <c r="D257" s="422">
        <f t="shared" si="10"/>
        <v>0.88499999999999091</v>
      </c>
      <c r="E257" s="422">
        <f t="shared" si="11"/>
        <v>0</v>
      </c>
      <c r="F257" s="25" t="s">
        <v>627</v>
      </c>
      <c r="G257" s="26" t="s">
        <v>1190</v>
      </c>
      <c r="H257" s="188"/>
      <c r="I257" s="327" t="s">
        <v>1189</v>
      </c>
      <c r="J257" s="252">
        <v>0.88499999999999091</v>
      </c>
      <c r="K257" s="29" t="s">
        <v>1191</v>
      </c>
      <c r="L257" s="94"/>
      <c r="M257" s="30"/>
      <c r="N257" s="31"/>
      <c r="O257" s="31"/>
      <c r="P257" s="31"/>
      <c r="Q257" s="31"/>
      <c r="R257" s="94">
        <v>0.5</v>
      </c>
      <c r="S257" s="30" t="s">
        <v>1191</v>
      </c>
      <c r="T257" s="94"/>
      <c r="U257" s="94"/>
      <c r="V257" s="27"/>
      <c r="W257" s="27"/>
      <c r="X257" s="150"/>
      <c r="Y257" s="370"/>
      <c r="Z257" s="27"/>
      <c r="AA257" s="33"/>
      <c r="AB257" s="69"/>
      <c r="AC257" s="69"/>
      <c r="AD257" s="33"/>
      <c r="AE257" s="37"/>
      <c r="AF257" s="37"/>
      <c r="AG257" s="37"/>
      <c r="AH257" s="37"/>
      <c r="AI257" s="69"/>
      <c r="AJ257" s="69"/>
      <c r="AK257" s="69"/>
      <c r="AL257" s="69"/>
      <c r="AM257" s="248"/>
      <c r="AN257" s="205"/>
      <c r="AO257" s="239"/>
      <c r="AP257" s="166">
        <v>0</v>
      </c>
      <c r="AQ257" s="167">
        <v>0</v>
      </c>
      <c r="AR257" s="168" t="s">
        <v>60</v>
      </c>
      <c r="AS257" s="169" t="s">
        <v>51</v>
      </c>
      <c r="AT257" s="156"/>
    </row>
    <row r="258" spans="1:50" ht="42" x14ac:dyDescent="0.2">
      <c r="A258" s="23" t="s">
        <v>1192</v>
      </c>
      <c r="B258" s="24" t="s">
        <v>1193</v>
      </c>
      <c r="C258" s="90">
        <f>246.745-246.393</f>
        <v>0.35200000000000387</v>
      </c>
      <c r="D258" s="422">
        <f t="shared" ref="D258:D321" si="17">J258+Z258</f>
        <v>0.35199999999999998</v>
      </c>
      <c r="E258" s="422">
        <f t="shared" si="11"/>
        <v>-3.8857805861880479E-15</v>
      </c>
      <c r="F258" s="25" t="s">
        <v>627</v>
      </c>
      <c r="G258" s="26" t="s">
        <v>1194</v>
      </c>
      <c r="H258" s="188"/>
      <c r="I258" s="327" t="s">
        <v>1193</v>
      </c>
      <c r="J258" s="257"/>
      <c r="K258" s="27"/>
      <c r="L258" s="69"/>
      <c r="M258" s="27"/>
      <c r="N258" s="37"/>
      <c r="O258" s="37"/>
      <c r="P258" s="37"/>
      <c r="Q258" s="37"/>
      <c r="R258" s="69"/>
      <c r="S258" s="27"/>
      <c r="T258" s="69"/>
      <c r="U258" s="69"/>
      <c r="V258" s="27"/>
      <c r="W258" s="27"/>
      <c r="X258" s="150"/>
      <c r="Y258" s="370"/>
      <c r="Z258" s="71">
        <v>0.35199999999999998</v>
      </c>
      <c r="AA258" s="71" t="s">
        <v>1195</v>
      </c>
      <c r="AB258" s="79">
        <f>Z258</f>
        <v>0.35199999999999998</v>
      </c>
      <c r="AC258" s="79"/>
      <c r="AD258" s="71"/>
      <c r="AE258" s="78"/>
      <c r="AF258" s="78"/>
      <c r="AG258" s="78"/>
      <c r="AH258" s="78"/>
      <c r="AI258" s="79">
        <v>0.2</v>
      </c>
      <c r="AJ258" s="79"/>
      <c r="AK258" s="79"/>
      <c r="AL258" s="79"/>
      <c r="AM258" s="248"/>
      <c r="AN258" s="205"/>
      <c r="AO258" s="239"/>
      <c r="AP258" s="166">
        <v>0</v>
      </c>
      <c r="AQ258" s="167">
        <v>0</v>
      </c>
      <c r="AR258" s="168" t="s">
        <v>60</v>
      </c>
      <c r="AS258" s="169" t="s">
        <v>51</v>
      </c>
      <c r="AT258" s="156"/>
    </row>
    <row r="259" spans="1:50" ht="84" x14ac:dyDescent="0.2">
      <c r="A259" s="23" t="s">
        <v>1196</v>
      </c>
      <c r="B259" s="24" t="s">
        <v>1197</v>
      </c>
      <c r="C259" s="90">
        <f>292.602-180.958</f>
        <v>111.64399999999998</v>
      </c>
      <c r="D259" s="422">
        <f t="shared" si="17"/>
        <v>111.64399999999999</v>
      </c>
      <c r="E259" s="422">
        <f t="shared" ref="E259:E322" si="18">D259-C259</f>
        <v>0</v>
      </c>
      <c r="F259" s="25" t="s">
        <v>1198</v>
      </c>
      <c r="G259" s="38" t="s">
        <v>1199</v>
      </c>
      <c r="H259" s="188"/>
      <c r="I259" s="328" t="s">
        <v>1197</v>
      </c>
      <c r="J259" s="250">
        <v>69.325999999999993</v>
      </c>
      <c r="K259" s="120" t="s">
        <v>1825</v>
      </c>
      <c r="L259" s="121"/>
      <c r="M259" s="121"/>
      <c r="N259" s="122"/>
      <c r="O259" s="122"/>
      <c r="P259" s="122"/>
      <c r="Q259" s="122"/>
      <c r="R259" s="28">
        <v>24.742000000000001</v>
      </c>
      <c r="S259" s="120" t="s">
        <v>1826</v>
      </c>
      <c r="T259" s="28">
        <v>24.742000000000001</v>
      </c>
      <c r="U259" s="120" t="s">
        <v>1826</v>
      </c>
      <c r="V259" s="28">
        <v>24.742000000000001</v>
      </c>
      <c r="W259" s="28" t="s">
        <v>1827</v>
      </c>
      <c r="X259" s="149">
        <v>44.584000000000003</v>
      </c>
      <c r="Y259" s="270" t="s">
        <v>1828</v>
      </c>
      <c r="Z259" s="309">
        <v>42.317999999999998</v>
      </c>
      <c r="AA259" s="83" t="s">
        <v>1834</v>
      </c>
      <c r="AB259" s="309">
        <v>42.317999999999998</v>
      </c>
      <c r="AC259" s="84">
        <v>0</v>
      </c>
      <c r="AD259" s="83">
        <v>0</v>
      </c>
      <c r="AE259" s="85">
        <v>0</v>
      </c>
      <c r="AF259" s="85">
        <v>0</v>
      </c>
      <c r="AG259" s="85">
        <v>0</v>
      </c>
      <c r="AH259" s="85">
        <v>0</v>
      </c>
      <c r="AI259" s="84">
        <v>0</v>
      </c>
      <c r="AJ259" s="84"/>
      <c r="AK259" s="84"/>
      <c r="AL259" s="84"/>
      <c r="AM259" s="559">
        <v>35.417999999999999</v>
      </c>
      <c r="AN259" s="560" t="s">
        <v>1833</v>
      </c>
      <c r="AO259" s="239" t="s">
        <v>1200</v>
      </c>
      <c r="AP259" s="166">
        <v>0</v>
      </c>
      <c r="AQ259" s="167">
        <v>607</v>
      </c>
      <c r="AR259" s="168" t="s">
        <v>873</v>
      </c>
      <c r="AS259" s="169" t="s">
        <v>33</v>
      </c>
      <c r="AT259" s="156">
        <v>242.767</v>
      </c>
      <c r="AU259" s="156">
        <v>245.256</v>
      </c>
      <c r="AV259" s="156">
        <f t="shared" ref="AV259:AV260" si="19">AU259-AT259</f>
        <v>2.4890000000000043</v>
      </c>
      <c r="AW259" s="156">
        <v>20.399999999999999</v>
      </c>
      <c r="AX259" s="156">
        <v>20.399999999999999</v>
      </c>
    </row>
    <row r="260" spans="1:50" ht="73.5" x14ac:dyDescent="0.2">
      <c r="A260" s="23" t="s">
        <v>1201</v>
      </c>
      <c r="B260" s="498" t="s">
        <v>1202</v>
      </c>
      <c r="C260" s="499">
        <f>87.582-0.867</f>
        <v>86.714999999999989</v>
      </c>
      <c r="D260" s="497">
        <f t="shared" si="17"/>
        <v>86.715000000000003</v>
      </c>
      <c r="E260" s="497">
        <f t="shared" si="18"/>
        <v>0</v>
      </c>
      <c r="F260" s="25" t="s">
        <v>1203</v>
      </c>
      <c r="G260" s="26" t="s">
        <v>1204</v>
      </c>
      <c r="H260" s="188" t="s">
        <v>1204</v>
      </c>
      <c r="I260" s="326" t="s">
        <v>1205</v>
      </c>
      <c r="J260" s="250">
        <f>5.2-0.867+87.582-83.5</f>
        <v>8.414999999999992</v>
      </c>
      <c r="K260" s="40" t="s">
        <v>1206</v>
      </c>
      <c r="L260" s="119"/>
      <c r="M260" s="121"/>
      <c r="N260" s="42"/>
      <c r="O260" s="42"/>
      <c r="P260" s="42"/>
      <c r="Q260" s="42"/>
      <c r="R260" s="119">
        <v>15</v>
      </c>
      <c r="S260" s="41" t="s">
        <v>1207</v>
      </c>
      <c r="T260" s="119"/>
      <c r="U260" s="119"/>
      <c r="V260" s="27"/>
      <c r="W260" s="27"/>
      <c r="X260" s="150"/>
      <c r="Y260" s="370"/>
      <c r="Z260" s="79">
        <v>78.300000000000011</v>
      </c>
      <c r="AA260" s="72" t="s">
        <v>1767</v>
      </c>
      <c r="AB260" s="74">
        <v>25.1</v>
      </c>
      <c r="AC260" s="74"/>
      <c r="AD260" s="72"/>
      <c r="AE260" s="73"/>
      <c r="AF260" s="73"/>
      <c r="AG260" s="73"/>
      <c r="AH260" s="73"/>
      <c r="AI260" s="74">
        <v>53.2</v>
      </c>
      <c r="AJ260" s="72" t="s">
        <v>1801</v>
      </c>
      <c r="AK260" s="74">
        <v>78.3</v>
      </c>
      <c r="AL260" s="72" t="s">
        <v>1802</v>
      </c>
      <c r="AM260" s="248">
        <v>78.3</v>
      </c>
      <c r="AN260" s="205" t="s">
        <v>1800</v>
      </c>
      <c r="AO260" s="239" t="s">
        <v>1208</v>
      </c>
      <c r="AP260" s="166">
        <v>0</v>
      </c>
      <c r="AQ260" s="167">
        <v>585</v>
      </c>
      <c r="AR260" s="168" t="s">
        <v>873</v>
      </c>
      <c r="AS260" s="169" t="s">
        <v>51</v>
      </c>
      <c r="AT260" s="156">
        <v>5.2149999999999999</v>
      </c>
      <c r="AU260" s="156">
        <v>6.74</v>
      </c>
      <c r="AV260" s="156">
        <f t="shared" si="19"/>
        <v>1.5250000000000004</v>
      </c>
      <c r="AW260" s="156">
        <v>13</v>
      </c>
      <c r="AX260" s="156">
        <v>13</v>
      </c>
    </row>
    <row r="261" spans="1:50" ht="52.5" x14ac:dyDescent="0.2">
      <c r="A261" s="23" t="s">
        <v>1209</v>
      </c>
      <c r="B261" s="24" t="s">
        <v>1210</v>
      </c>
      <c r="C261" s="90">
        <f>205.131-184.261</f>
        <v>20.870000000000005</v>
      </c>
      <c r="D261" s="422">
        <f t="shared" si="17"/>
        <v>20.86999999999999</v>
      </c>
      <c r="E261" s="422">
        <f t="shared" si="18"/>
        <v>0</v>
      </c>
      <c r="F261" s="25" t="s">
        <v>811</v>
      </c>
      <c r="G261" s="26" t="s">
        <v>1211</v>
      </c>
      <c r="H261" s="188" t="s">
        <v>1212</v>
      </c>
      <c r="I261" s="328" t="s">
        <v>1210</v>
      </c>
      <c r="J261" s="250">
        <v>3.67</v>
      </c>
      <c r="K261" s="29" t="s">
        <v>1213</v>
      </c>
      <c r="L261" s="30"/>
      <c r="M261" s="121"/>
      <c r="N261" s="31"/>
      <c r="O261" s="31"/>
      <c r="P261" s="31"/>
      <c r="Q261" s="489"/>
      <c r="R261" s="29">
        <v>1.8</v>
      </c>
      <c r="S261" s="485" t="s">
        <v>1213</v>
      </c>
      <c r="T261" s="29">
        <v>1.8</v>
      </c>
      <c r="U261" s="485" t="s">
        <v>1213</v>
      </c>
      <c r="V261" s="29">
        <f>187.8-184.261+205.131-205</f>
        <v>3.6700000000000159</v>
      </c>
      <c r="W261" s="30" t="s">
        <v>1213</v>
      </c>
      <c r="X261" s="263"/>
      <c r="Y261" s="264"/>
      <c r="Z261" s="302">
        <v>17.199999999999989</v>
      </c>
      <c r="AA261" s="124" t="s">
        <v>1214</v>
      </c>
      <c r="AB261" s="319"/>
      <c r="AC261" s="115"/>
      <c r="AD261" s="319"/>
      <c r="AE261" s="320"/>
      <c r="AF261" s="320"/>
      <c r="AG261" s="320"/>
      <c r="AH261" s="320"/>
      <c r="AI261" s="476">
        <v>19</v>
      </c>
      <c r="AJ261" s="319" t="s">
        <v>1732</v>
      </c>
      <c r="AK261" s="476">
        <v>19</v>
      </c>
      <c r="AL261" s="319" t="s">
        <v>1732</v>
      </c>
      <c r="AM261" s="302">
        <v>17.199999999999989</v>
      </c>
      <c r="AN261" s="124" t="s">
        <v>1214</v>
      </c>
      <c r="AO261" s="239"/>
      <c r="AP261" s="166">
        <v>0</v>
      </c>
      <c r="AQ261" s="167">
        <v>127</v>
      </c>
      <c r="AR261" s="168" t="s">
        <v>873</v>
      </c>
      <c r="AS261" s="169" t="s">
        <v>51</v>
      </c>
      <c r="AT261" s="156"/>
    </row>
    <row r="262" spans="1:50" ht="31.5" x14ac:dyDescent="0.2">
      <c r="A262" s="23" t="s">
        <v>1215</v>
      </c>
      <c r="B262" s="24" t="s">
        <v>1216</v>
      </c>
      <c r="C262" s="90">
        <f>279.628-276.484</f>
        <v>3.1440000000000055</v>
      </c>
      <c r="D262" s="422">
        <f t="shared" si="17"/>
        <v>3.1440000000000055</v>
      </c>
      <c r="E262" s="422">
        <f t="shared" si="18"/>
        <v>0</v>
      </c>
      <c r="F262" s="25" t="s">
        <v>848</v>
      </c>
      <c r="G262" s="38" t="s">
        <v>1217</v>
      </c>
      <c r="H262" s="188"/>
      <c r="I262" s="326" t="s">
        <v>1216</v>
      </c>
      <c r="J262" s="250">
        <v>0.30299999999999727</v>
      </c>
      <c r="K262" s="29" t="s">
        <v>1218</v>
      </c>
      <c r="L262" s="29"/>
      <c r="M262" s="121"/>
      <c r="N262" s="68"/>
      <c r="O262" s="68"/>
      <c r="P262" s="68"/>
      <c r="Q262" s="68"/>
      <c r="R262" s="29"/>
      <c r="S262" s="29"/>
      <c r="T262" s="29"/>
      <c r="U262" s="29"/>
      <c r="V262" s="28">
        <v>0.30299999999999727</v>
      </c>
      <c r="W262" s="29" t="s">
        <v>1218</v>
      </c>
      <c r="X262" s="151"/>
      <c r="Y262" s="271"/>
      <c r="Z262" s="308">
        <v>2.8410000000000082</v>
      </c>
      <c r="AA262" s="71" t="s">
        <v>1219</v>
      </c>
      <c r="AB262" s="71"/>
      <c r="AC262" s="79"/>
      <c r="AD262" s="71"/>
      <c r="AE262" s="78"/>
      <c r="AF262" s="78"/>
      <c r="AG262" s="78"/>
      <c r="AH262" s="78"/>
      <c r="AI262" s="79">
        <v>1.5</v>
      </c>
      <c r="AJ262" s="79" t="s">
        <v>1709</v>
      </c>
      <c r="AK262" s="79"/>
      <c r="AL262" s="79"/>
      <c r="AM262" s="71">
        <v>2.8410000000000082</v>
      </c>
      <c r="AN262" s="204" t="s">
        <v>1219</v>
      </c>
      <c r="AO262" s="239"/>
      <c r="AP262" s="166">
        <v>15</v>
      </c>
      <c r="AQ262" s="167">
        <v>0</v>
      </c>
      <c r="AR262" s="168" t="s">
        <v>873</v>
      </c>
      <c r="AS262" s="169" t="s">
        <v>51</v>
      </c>
      <c r="AT262" s="156"/>
    </row>
    <row r="263" spans="1:50" ht="31.5" x14ac:dyDescent="0.2">
      <c r="A263" s="23" t="s">
        <v>1220</v>
      </c>
      <c r="B263" s="24" t="s">
        <v>1221</v>
      </c>
      <c r="C263" s="90">
        <v>4.2750000000000004</v>
      </c>
      <c r="D263" s="422">
        <f t="shared" si="17"/>
        <v>4.2750000000000004</v>
      </c>
      <c r="E263" s="422">
        <f t="shared" si="18"/>
        <v>0</v>
      </c>
      <c r="F263" s="25" t="s">
        <v>848</v>
      </c>
      <c r="G263" s="38" t="s">
        <v>1222</v>
      </c>
      <c r="H263" s="188"/>
      <c r="I263" s="326" t="s">
        <v>1221</v>
      </c>
      <c r="J263" s="250">
        <v>3.254</v>
      </c>
      <c r="K263" s="40" t="s">
        <v>1223</v>
      </c>
      <c r="L263" s="41"/>
      <c r="M263" s="121"/>
      <c r="N263" s="42"/>
      <c r="O263" s="42"/>
      <c r="P263" s="42"/>
      <c r="Q263" s="42"/>
      <c r="R263" s="41"/>
      <c r="S263" s="41"/>
      <c r="T263" s="41"/>
      <c r="U263" s="41"/>
      <c r="V263" s="28">
        <v>3.254</v>
      </c>
      <c r="W263" s="40" t="s">
        <v>1223</v>
      </c>
      <c r="X263" s="151"/>
      <c r="Y263" s="271"/>
      <c r="Z263" s="309">
        <v>1.0210000000000001</v>
      </c>
      <c r="AA263" s="83" t="s">
        <v>1224</v>
      </c>
      <c r="AB263" s="83"/>
      <c r="AC263" s="84">
        <v>0</v>
      </c>
      <c r="AD263" s="83">
        <v>0</v>
      </c>
      <c r="AE263" s="85">
        <v>0</v>
      </c>
      <c r="AF263" s="85">
        <v>0</v>
      </c>
      <c r="AG263" s="85">
        <v>0</v>
      </c>
      <c r="AH263" s="85">
        <v>0</v>
      </c>
      <c r="AI263" s="84">
        <v>4.2</v>
      </c>
      <c r="AJ263" s="84" t="s">
        <v>1710</v>
      </c>
      <c r="AK263" s="84"/>
      <c r="AL263" s="84"/>
      <c r="AM263" s="98">
        <v>1.0210000000000001</v>
      </c>
      <c r="AN263" s="298" t="s">
        <v>1224</v>
      </c>
      <c r="AO263" s="239"/>
      <c r="AP263" s="166">
        <v>0</v>
      </c>
      <c r="AQ263" s="167">
        <v>15</v>
      </c>
      <c r="AR263" s="168" t="s">
        <v>873</v>
      </c>
      <c r="AS263" s="169" t="s">
        <v>33</v>
      </c>
      <c r="AT263" s="156"/>
    </row>
    <row r="264" spans="1:50" ht="21" x14ac:dyDescent="0.2">
      <c r="A264" s="23" t="s">
        <v>1225</v>
      </c>
      <c r="B264" s="24" t="s">
        <v>1226</v>
      </c>
      <c r="C264" s="90">
        <f>7.713-1.025</f>
        <v>6.6880000000000006</v>
      </c>
      <c r="D264" s="422">
        <f t="shared" si="17"/>
        <v>6.6880000000000006</v>
      </c>
      <c r="E264" s="422">
        <f t="shared" si="18"/>
        <v>0</v>
      </c>
      <c r="F264" s="25" t="s">
        <v>811</v>
      </c>
      <c r="G264" s="26" t="s">
        <v>1227</v>
      </c>
      <c r="H264" s="188"/>
      <c r="I264" s="327" t="s">
        <v>1226</v>
      </c>
      <c r="J264" s="250">
        <v>6.6880000000000006</v>
      </c>
      <c r="K264" s="29" t="s">
        <v>1228</v>
      </c>
      <c r="L264" s="30"/>
      <c r="M264" s="121"/>
      <c r="N264" s="31"/>
      <c r="O264" s="31"/>
      <c r="P264" s="31"/>
      <c r="Q264" s="489"/>
      <c r="R264" s="29"/>
      <c r="S264" s="485"/>
      <c r="T264" s="29"/>
      <c r="U264" s="485"/>
      <c r="V264" s="75"/>
      <c r="W264" s="75"/>
      <c r="X264" s="151"/>
      <c r="Y264" s="271"/>
      <c r="Z264" s="306"/>
      <c r="AA264" s="65"/>
      <c r="AB264" s="65"/>
      <c r="AC264" s="67"/>
      <c r="AD264" s="65"/>
      <c r="AE264" s="66"/>
      <c r="AF264" s="66"/>
      <c r="AG264" s="66"/>
      <c r="AH264" s="66"/>
      <c r="AI264" s="67"/>
      <c r="AJ264" s="67"/>
      <c r="AK264" s="67"/>
      <c r="AL264" s="67"/>
      <c r="AM264" s="98"/>
      <c r="AN264" s="298"/>
      <c r="AO264" s="239"/>
      <c r="AP264" s="166">
        <v>0</v>
      </c>
      <c r="AQ264" s="167">
        <v>16</v>
      </c>
      <c r="AR264" s="168" t="s">
        <v>1</v>
      </c>
      <c r="AS264" s="169" t="s">
        <v>1</v>
      </c>
      <c r="AT264" s="156"/>
    </row>
    <row r="265" spans="1:50" ht="52.5" x14ac:dyDescent="0.2">
      <c r="A265" s="23" t="s">
        <v>1229</v>
      </c>
      <c r="B265" s="24" t="s">
        <v>1230</v>
      </c>
      <c r="C265" s="90">
        <f>76.331-0.336</f>
        <v>75.995000000000005</v>
      </c>
      <c r="D265" s="422">
        <f t="shared" si="17"/>
        <v>75.995000000000005</v>
      </c>
      <c r="E265" s="422">
        <f t="shared" si="18"/>
        <v>0</v>
      </c>
      <c r="F265" s="25" t="s">
        <v>800</v>
      </c>
      <c r="G265" s="38" t="s">
        <v>1231</v>
      </c>
      <c r="H265" s="188"/>
      <c r="I265" s="326"/>
      <c r="J265" s="252">
        <v>29.064</v>
      </c>
      <c r="K265" s="40" t="s">
        <v>1232</v>
      </c>
      <c r="L265" s="40"/>
      <c r="M265" s="121"/>
      <c r="N265" s="70"/>
      <c r="O265" s="70"/>
      <c r="P265" s="70"/>
      <c r="Q265" s="70"/>
      <c r="R265" s="252">
        <v>15</v>
      </c>
      <c r="S265" s="40" t="s">
        <v>1232</v>
      </c>
      <c r="T265" s="40"/>
      <c r="U265" s="40"/>
      <c r="V265" s="252">
        <v>29.064</v>
      </c>
      <c r="W265" s="40" t="s">
        <v>1232</v>
      </c>
      <c r="X265" s="150"/>
      <c r="Y265" s="408"/>
      <c r="Z265" s="71">
        <v>46.930999999999997</v>
      </c>
      <c r="AA265" s="71" t="s">
        <v>1835</v>
      </c>
      <c r="AB265" s="71"/>
      <c r="AC265" s="79"/>
      <c r="AD265" s="71"/>
      <c r="AE265" s="78"/>
      <c r="AF265" s="78"/>
      <c r="AG265" s="78"/>
      <c r="AH265" s="78"/>
      <c r="AI265" s="71">
        <v>46.930999999999997</v>
      </c>
      <c r="AJ265" s="79" t="s">
        <v>1835</v>
      </c>
      <c r="AK265" s="79"/>
      <c r="AL265" s="79"/>
      <c r="AM265" s="71">
        <v>46.930999999999997</v>
      </c>
      <c r="AN265" s="71" t="s">
        <v>1835</v>
      </c>
      <c r="AO265" s="239" t="s">
        <v>1640</v>
      </c>
      <c r="AP265" s="166">
        <v>0</v>
      </c>
      <c r="AQ265" s="167">
        <v>379</v>
      </c>
      <c r="AR265" s="168" t="s">
        <v>873</v>
      </c>
      <c r="AS265" s="169" t="s">
        <v>51</v>
      </c>
      <c r="AT265" s="156">
        <v>66.206000000000003</v>
      </c>
      <c r="AU265" s="156">
        <v>66.58</v>
      </c>
      <c r="AV265" s="156">
        <f>AU265-AT265</f>
        <v>0.37399999999999523</v>
      </c>
      <c r="AW265" s="156">
        <v>16</v>
      </c>
      <c r="AX265" s="156">
        <v>16</v>
      </c>
    </row>
    <row r="266" spans="1:50" ht="42" x14ac:dyDescent="0.2">
      <c r="A266" s="23" t="s">
        <v>1233</v>
      </c>
      <c r="B266" s="24" t="s">
        <v>1234</v>
      </c>
      <c r="C266" s="90">
        <f>4.414-0.371</f>
        <v>4.0429999999999993</v>
      </c>
      <c r="D266" s="422">
        <f t="shared" si="17"/>
        <v>4.0429999999999993</v>
      </c>
      <c r="E266" s="422">
        <f t="shared" si="18"/>
        <v>0</v>
      </c>
      <c r="F266" s="25" t="s">
        <v>627</v>
      </c>
      <c r="G266" s="26" t="s">
        <v>1235</v>
      </c>
      <c r="H266" s="188"/>
      <c r="I266" s="326"/>
      <c r="J266" s="252">
        <v>4.0429999999999993</v>
      </c>
      <c r="K266" s="29" t="s">
        <v>1236</v>
      </c>
      <c r="L266" s="94"/>
      <c r="M266" s="121"/>
      <c r="N266" s="31"/>
      <c r="O266" s="31"/>
      <c r="P266" s="31"/>
      <c r="Q266" s="31"/>
      <c r="R266" s="31">
        <f>4.414-0.371</f>
        <v>4.0429999999999993</v>
      </c>
      <c r="S266" s="31" t="s">
        <v>1236</v>
      </c>
      <c r="T266" s="31"/>
      <c r="U266" s="31"/>
      <c r="V266" s="29"/>
      <c r="W266" s="40"/>
      <c r="X266" s="150"/>
      <c r="Y266" s="408"/>
      <c r="Z266" s="27"/>
      <c r="AA266" s="33"/>
      <c r="AB266" s="69"/>
      <c r="AC266" s="69"/>
      <c r="AD266" s="33"/>
      <c r="AE266" s="37"/>
      <c r="AF266" s="37"/>
      <c r="AG266" s="37"/>
      <c r="AH266" s="37"/>
      <c r="AI266" s="69"/>
      <c r="AJ266" s="69"/>
      <c r="AK266" s="69"/>
      <c r="AL266" s="69"/>
      <c r="AM266" s="248"/>
      <c r="AN266" s="204"/>
      <c r="AO266" s="239"/>
      <c r="AP266" s="166">
        <v>0</v>
      </c>
      <c r="AQ266" s="167"/>
      <c r="AR266" s="168" t="s">
        <v>60</v>
      </c>
      <c r="AS266" s="169" t="s">
        <v>33</v>
      </c>
      <c r="AT266" s="156"/>
    </row>
    <row r="267" spans="1:50" ht="31.5" x14ac:dyDescent="0.2">
      <c r="A267" s="23" t="s">
        <v>1237</v>
      </c>
      <c r="B267" s="24" t="s">
        <v>1238</v>
      </c>
      <c r="C267" s="90">
        <f>7.054-0.073</f>
        <v>6.9809999999999999</v>
      </c>
      <c r="D267" s="422">
        <f t="shared" si="17"/>
        <v>6.9809999999999999</v>
      </c>
      <c r="E267" s="422">
        <f t="shared" si="18"/>
        <v>0</v>
      </c>
      <c r="F267" s="25" t="s">
        <v>811</v>
      </c>
      <c r="G267" s="26" t="s">
        <v>1239</v>
      </c>
      <c r="H267" s="188"/>
      <c r="I267" s="327" t="s">
        <v>1238</v>
      </c>
      <c r="J267" s="250">
        <v>6.9809999999999999</v>
      </c>
      <c r="K267" s="105" t="s">
        <v>1240</v>
      </c>
      <c r="L267" s="106"/>
      <c r="M267" s="121"/>
      <c r="N267" s="107"/>
      <c r="O267" s="107"/>
      <c r="P267" s="107"/>
      <c r="Q267" s="544"/>
      <c r="R267" s="28">
        <v>3.5</v>
      </c>
      <c r="S267" s="543" t="s">
        <v>1240</v>
      </c>
      <c r="T267" s="28">
        <v>3.5</v>
      </c>
      <c r="U267" s="543" t="s">
        <v>1240</v>
      </c>
      <c r="V267" s="28">
        <v>6.9809999999999999</v>
      </c>
      <c r="W267" s="105" t="s">
        <v>1240</v>
      </c>
      <c r="X267" s="150"/>
      <c r="Y267" s="253"/>
      <c r="Z267" s="306"/>
      <c r="AA267" s="65"/>
      <c r="AB267" s="65"/>
      <c r="AC267" s="67"/>
      <c r="AD267" s="65"/>
      <c r="AE267" s="66"/>
      <c r="AF267" s="66"/>
      <c r="AG267" s="66"/>
      <c r="AH267" s="66"/>
      <c r="AI267" s="67"/>
      <c r="AJ267" s="67"/>
      <c r="AK267" s="67"/>
      <c r="AL267" s="67"/>
      <c r="AM267" s="71"/>
      <c r="AN267" s="204"/>
      <c r="AO267" s="239"/>
      <c r="AP267" s="166">
        <v>0</v>
      </c>
      <c r="AQ267" s="167">
        <v>62</v>
      </c>
      <c r="AR267" s="168" t="s">
        <v>1</v>
      </c>
      <c r="AS267" s="169" t="s">
        <v>1</v>
      </c>
      <c r="AT267" s="156"/>
    </row>
    <row r="268" spans="1:50" ht="21" x14ac:dyDescent="0.2">
      <c r="A268" s="23" t="s">
        <v>1241</v>
      </c>
      <c r="B268" s="24" t="s">
        <v>1242</v>
      </c>
      <c r="C268" s="90">
        <f>2.684-0.835</f>
        <v>1.8490000000000002</v>
      </c>
      <c r="D268" s="422">
        <f t="shared" si="17"/>
        <v>1.8490000000000002</v>
      </c>
      <c r="E268" s="422">
        <f t="shared" si="18"/>
        <v>0</v>
      </c>
      <c r="F268" s="25" t="s">
        <v>811</v>
      </c>
      <c r="G268" s="26" t="s">
        <v>1243</v>
      </c>
      <c r="H268" s="188"/>
      <c r="I268" s="326"/>
      <c r="J268" s="250">
        <v>1.8490000000000002</v>
      </c>
      <c r="K268" s="105" t="s">
        <v>1244</v>
      </c>
      <c r="L268" s="106"/>
      <c r="M268" s="121"/>
      <c r="N268" s="107"/>
      <c r="O268" s="107"/>
      <c r="P268" s="107"/>
      <c r="Q268" s="544"/>
      <c r="R268" s="105">
        <v>1</v>
      </c>
      <c r="S268" s="544" t="s">
        <v>1244</v>
      </c>
      <c r="T268" s="105"/>
      <c r="U268" s="539"/>
      <c r="V268" s="28">
        <v>1.8490000000000002</v>
      </c>
      <c r="W268" s="105" t="s">
        <v>1244</v>
      </c>
      <c r="X268" s="150"/>
      <c r="Y268" s="253"/>
      <c r="Z268" s="299"/>
      <c r="AA268" s="32"/>
      <c r="AB268" s="32"/>
      <c r="AC268" s="35"/>
      <c r="AD268" s="32"/>
      <c r="AE268" s="34"/>
      <c r="AF268" s="34"/>
      <c r="AG268" s="34"/>
      <c r="AH268" s="34"/>
      <c r="AI268" s="35"/>
      <c r="AJ268" s="35"/>
      <c r="AK268" s="35"/>
      <c r="AL268" s="35"/>
      <c r="AM268" s="71"/>
      <c r="AN268" s="204"/>
      <c r="AO268" s="239"/>
      <c r="AP268" s="166">
        <v>9</v>
      </c>
      <c r="AQ268" s="167">
        <v>12</v>
      </c>
      <c r="AR268" s="168" t="s">
        <v>1</v>
      </c>
      <c r="AS268" s="169" t="s">
        <v>1</v>
      </c>
      <c r="AT268" s="156"/>
    </row>
    <row r="269" spans="1:50" ht="31.5" x14ac:dyDescent="0.2">
      <c r="A269" s="23" t="s">
        <v>1245</v>
      </c>
      <c r="B269" s="24" t="s">
        <v>1246</v>
      </c>
      <c r="C269" s="90">
        <f>12.224-0.152</f>
        <v>12.072000000000001</v>
      </c>
      <c r="D269" s="422">
        <f t="shared" si="17"/>
        <v>12.071999999999999</v>
      </c>
      <c r="E269" s="422">
        <f t="shared" si="18"/>
        <v>0</v>
      </c>
      <c r="F269" s="25" t="s">
        <v>811</v>
      </c>
      <c r="G269" s="26" t="s">
        <v>1247</v>
      </c>
      <c r="H269" s="188"/>
      <c r="I269" s="326"/>
      <c r="J269" s="250">
        <v>3.2480000000000002</v>
      </c>
      <c r="K269" s="105" t="s">
        <v>1248</v>
      </c>
      <c r="L269" s="105"/>
      <c r="M269" s="121"/>
      <c r="N269" s="123"/>
      <c r="O269" s="123"/>
      <c r="P269" s="123"/>
      <c r="Q269" s="554"/>
      <c r="R269" s="105">
        <v>1.6</v>
      </c>
      <c r="S269" s="544" t="s">
        <v>1248</v>
      </c>
      <c r="T269" s="105"/>
      <c r="U269" s="543"/>
      <c r="V269" s="105">
        <f>3.4-0.152</f>
        <v>3.2479999999999998</v>
      </c>
      <c r="W269" s="107" t="s">
        <v>1248</v>
      </c>
      <c r="X269" s="150"/>
      <c r="Y269" s="253"/>
      <c r="Z269" s="308">
        <v>8.8239999999999998</v>
      </c>
      <c r="AA269" s="124" t="s">
        <v>1249</v>
      </c>
      <c r="AB269" s="124"/>
      <c r="AC269" s="126">
        <v>0.5</v>
      </c>
      <c r="AD269" s="79" t="s">
        <v>1250</v>
      </c>
      <c r="AE269" s="125">
        <v>1</v>
      </c>
      <c r="AF269" s="125">
        <v>1</v>
      </c>
      <c r="AG269" s="125">
        <v>1</v>
      </c>
      <c r="AH269" s="125">
        <v>0</v>
      </c>
      <c r="AI269" s="308">
        <v>8.3239999999999998</v>
      </c>
      <c r="AJ269" s="79" t="s">
        <v>1251</v>
      </c>
      <c r="AK269" s="126">
        <v>1.1000000000000001</v>
      </c>
      <c r="AL269" s="126" t="s">
        <v>1768</v>
      </c>
      <c r="AM269" s="308">
        <v>8.8239999999999998</v>
      </c>
      <c r="AN269" s="124" t="s">
        <v>1249</v>
      </c>
      <c r="AO269" s="239"/>
      <c r="AP269" s="166">
        <v>0</v>
      </c>
      <c r="AQ269" s="167">
        <v>0</v>
      </c>
      <c r="AR269" s="168" t="s">
        <v>60</v>
      </c>
      <c r="AS269" s="169" t="s">
        <v>51</v>
      </c>
      <c r="AT269" s="156"/>
    </row>
    <row r="270" spans="1:50" ht="31.5" x14ac:dyDescent="0.2">
      <c r="A270" s="23" t="s">
        <v>1252</v>
      </c>
      <c r="B270" s="24" t="s">
        <v>1253</v>
      </c>
      <c r="C270" s="90">
        <f>5.862-0.237</f>
        <v>5.625</v>
      </c>
      <c r="D270" s="422">
        <f t="shared" si="17"/>
        <v>5.625</v>
      </c>
      <c r="E270" s="422">
        <f t="shared" si="18"/>
        <v>0</v>
      </c>
      <c r="F270" s="25" t="s">
        <v>811</v>
      </c>
      <c r="G270" s="26" t="s">
        <v>1254</v>
      </c>
      <c r="H270" s="188"/>
      <c r="I270" s="326"/>
      <c r="J270" s="250">
        <v>5.625</v>
      </c>
      <c r="K270" s="105" t="s">
        <v>1255</v>
      </c>
      <c r="L270" s="106"/>
      <c r="M270" s="121"/>
      <c r="N270" s="107"/>
      <c r="O270" s="107"/>
      <c r="P270" s="107"/>
      <c r="Q270" s="544"/>
      <c r="R270" s="28">
        <v>5.625</v>
      </c>
      <c r="S270" s="543" t="s">
        <v>1255</v>
      </c>
      <c r="T270" s="105"/>
      <c r="U270" s="539"/>
      <c r="V270" s="28">
        <v>5.625</v>
      </c>
      <c r="W270" s="105" t="s">
        <v>1255</v>
      </c>
      <c r="X270" s="150"/>
      <c r="Y270" s="253"/>
      <c r="Z270" s="299"/>
      <c r="AA270" s="32"/>
      <c r="AB270" s="32"/>
      <c r="AC270" s="35"/>
      <c r="AD270" s="32"/>
      <c r="AE270" s="34"/>
      <c r="AF270" s="34"/>
      <c r="AG270" s="34"/>
      <c r="AH270" s="34"/>
      <c r="AI270" s="35"/>
      <c r="AJ270" s="35"/>
      <c r="AK270" s="35"/>
      <c r="AL270" s="35"/>
      <c r="AM270" s="71"/>
      <c r="AN270" s="204"/>
      <c r="AO270" s="239"/>
      <c r="AP270" s="166"/>
      <c r="AQ270" s="167">
        <v>35</v>
      </c>
      <c r="AR270" s="168" t="s">
        <v>1</v>
      </c>
      <c r="AS270" s="169" t="s">
        <v>1</v>
      </c>
      <c r="AT270" s="156"/>
    </row>
    <row r="271" spans="1:50" ht="52.5" x14ac:dyDescent="0.2">
      <c r="A271" s="23" t="s">
        <v>1256</v>
      </c>
      <c r="B271" s="24" t="s">
        <v>1257</v>
      </c>
      <c r="C271" s="90">
        <f>39.244-0.883</f>
        <v>38.360999999999997</v>
      </c>
      <c r="D271" s="422">
        <f t="shared" si="17"/>
        <v>38.360999999999997</v>
      </c>
      <c r="E271" s="422">
        <f t="shared" si="18"/>
        <v>0</v>
      </c>
      <c r="F271" s="25" t="s">
        <v>848</v>
      </c>
      <c r="G271" s="38" t="s">
        <v>1258</v>
      </c>
      <c r="H271" s="188"/>
      <c r="I271" s="326"/>
      <c r="J271" s="250">
        <v>38.360999999999997</v>
      </c>
      <c r="K271" s="29" t="s">
        <v>1259</v>
      </c>
      <c r="L271" s="30"/>
      <c r="M271" s="121"/>
      <c r="N271" s="31"/>
      <c r="O271" s="31"/>
      <c r="P271" s="31"/>
      <c r="Q271" s="31"/>
      <c r="R271" s="30">
        <v>34.360999999999997</v>
      </c>
      <c r="S271" s="41"/>
      <c r="T271" s="41"/>
      <c r="U271" s="41"/>
      <c r="V271" s="28"/>
      <c r="W271" s="29"/>
      <c r="X271" s="149">
        <v>38.360999999999997</v>
      </c>
      <c r="Y271" s="249" t="s">
        <v>1259</v>
      </c>
      <c r="Z271" s="299"/>
      <c r="AA271" s="32"/>
      <c r="AB271" s="32"/>
      <c r="AC271" s="35"/>
      <c r="AD271" s="32"/>
      <c r="AE271" s="34"/>
      <c r="AF271" s="34"/>
      <c r="AG271" s="34"/>
      <c r="AH271" s="34"/>
      <c r="AI271" s="35"/>
      <c r="AJ271" s="35"/>
      <c r="AK271" s="35"/>
      <c r="AL271" s="35"/>
      <c r="AM271" s="76"/>
      <c r="AN271" s="304"/>
      <c r="AO271" s="239"/>
      <c r="AP271" s="166">
        <v>119</v>
      </c>
      <c r="AQ271" s="167">
        <v>91</v>
      </c>
      <c r="AR271" s="168" t="s">
        <v>1</v>
      </c>
      <c r="AS271" s="169" t="s">
        <v>1</v>
      </c>
      <c r="AT271" s="156"/>
    </row>
    <row r="272" spans="1:50" ht="31.5" x14ac:dyDescent="0.2">
      <c r="A272" s="23" t="s">
        <v>1260</v>
      </c>
      <c r="B272" s="24" t="s">
        <v>1261</v>
      </c>
      <c r="C272" s="90">
        <f>9.74-0.228</f>
        <v>9.5120000000000005</v>
      </c>
      <c r="D272" s="422">
        <f t="shared" si="17"/>
        <v>9.5120000000000005</v>
      </c>
      <c r="E272" s="422">
        <f t="shared" si="18"/>
        <v>0</v>
      </c>
      <c r="F272" s="25" t="s">
        <v>848</v>
      </c>
      <c r="G272" s="38" t="s">
        <v>1262</v>
      </c>
      <c r="H272" s="188" t="s">
        <v>1262</v>
      </c>
      <c r="I272" s="326"/>
      <c r="J272" s="250">
        <v>1.502</v>
      </c>
      <c r="K272" s="29" t="s">
        <v>1263</v>
      </c>
      <c r="L272" s="30"/>
      <c r="M272" s="121"/>
      <c r="N272" s="31"/>
      <c r="O272" s="31"/>
      <c r="P272" s="31"/>
      <c r="Q272" s="31"/>
      <c r="R272" s="30"/>
      <c r="S272" s="30"/>
      <c r="T272" s="30"/>
      <c r="U272" s="30"/>
      <c r="V272" s="28"/>
      <c r="W272" s="29"/>
      <c r="X272" s="149">
        <v>1.502</v>
      </c>
      <c r="Y272" s="249" t="s">
        <v>1263</v>
      </c>
      <c r="Z272" s="308">
        <v>8.01</v>
      </c>
      <c r="AA272" s="71" t="s">
        <v>1264</v>
      </c>
      <c r="AB272" s="248">
        <v>0</v>
      </c>
      <c r="AC272" s="207">
        <f>9.4-2</f>
        <v>7.4</v>
      </c>
      <c r="AD272" s="248" t="s">
        <v>1265</v>
      </c>
      <c r="AE272" s="317">
        <v>10</v>
      </c>
      <c r="AF272" s="317">
        <v>0</v>
      </c>
      <c r="AG272" s="317">
        <v>6</v>
      </c>
      <c r="AH272" s="317">
        <v>0</v>
      </c>
      <c r="AI272" s="101">
        <v>0</v>
      </c>
      <c r="AJ272" s="207"/>
      <c r="AK272" s="101"/>
      <c r="AL272" s="101"/>
      <c r="AM272" s="71">
        <v>8.01</v>
      </c>
      <c r="AN272" s="204" t="s">
        <v>1264</v>
      </c>
      <c r="AO272" s="239"/>
      <c r="AP272" s="166">
        <v>10</v>
      </c>
      <c r="AQ272" s="167">
        <v>36</v>
      </c>
      <c r="AR272" s="168" t="s">
        <v>873</v>
      </c>
      <c r="AS272" s="169" t="s">
        <v>51</v>
      </c>
      <c r="AT272" s="156"/>
    </row>
    <row r="273" spans="1:49" ht="21" x14ac:dyDescent="0.2">
      <c r="A273" s="23" t="s">
        <v>1266</v>
      </c>
      <c r="B273" s="24" t="s">
        <v>1267</v>
      </c>
      <c r="C273" s="90">
        <f>7.591-0.193</f>
        <v>7.3980000000000006</v>
      </c>
      <c r="D273" s="422">
        <f t="shared" si="17"/>
        <v>7.4269999999999996</v>
      </c>
      <c r="E273" s="422">
        <f t="shared" si="18"/>
        <v>2.8999999999999027E-2</v>
      </c>
      <c r="F273" s="25" t="s">
        <v>848</v>
      </c>
      <c r="G273" s="38" t="s">
        <v>1268</v>
      </c>
      <c r="H273" s="188"/>
      <c r="I273" s="326"/>
      <c r="J273" s="250">
        <v>0.38699999999999996</v>
      </c>
      <c r="K273" s="29" t="s">
        <v>1269</v>
      </c>
      <c r="L273" s="29"/>
      <c r="M273" s="121"/>
      <c r="N273" s="68"/>
      <c r="O273" s="68"/>
      <c r="P273" s="68"/>
      <c r="Q273" s="68"/>
      <c r="R273" s="29"/>
      <c r="S273" s="29"/>
      <c r="T273" s="29"/>
      <c r="U273" s="29"/>
      <c r="V273" s="28">
        <v>0.38699999999999996</v>
      </c>
      <c r="W273" s="29" t="s">
        <v>1269</v>
      </c>
      <c r="X273" s="151"/>
      <c r="Y273" s="271"/>
      <c r="Z273" s="308">
        <v>7.04</v>
      </c>
      <c r="AA273" s="71" t="s">
        <v>1270</v>
      </c>
      <c r="AB273" s="71">
        <v>0</v>
      </c>
      <c r="AC273" s="79">
        <v>0</v>
      </c>
      <c r="AD273" s="71" t="s">
        <v>1271</v>
      </c>
      <c r="AE273" s="78">
        <v>0</v>
      </c>
      <c r="AF273" s="78">
        <v>0</v>
      </c>
      <c r="AG273" s="78">
        <v>0</v>
      </c>
      <c r="AH273" s="78">
        <v>0</v>
      </c>
      <c r="AI273" s="79">
        <v>7.04</v>
      </c>
      <c r="AJ273" s="79"/>
      <c r="AK273" s="79"/>
      <c r="AL273" s="79"/>
      <c r="AM273" s="71">
        <v>7.04</v>
      </c>
      <c r="AN273" s="204" t="s">
        <v>1270</v>
      </c>
      <c r="AO273" s="239"/>
      <c r="AP273" s="166"/>
      <c r="AQ273" s="167">
        <v>46</v>
      </c>
      <c r="AR273" s="168" t="s">
        <v>873</v>
      </c>
      <c r="AS273" s="169" t="s">
        <v>51</v>
      </c>
      <c r="AT273" s="156"/>
    </row>
    <row r="274" spans="1:49" ht="42" x14ac:dyDescent="0.2">
      <c r="A274" s="23" t="s">
        <v>1272</v>
      </c>
      <c r="B274" s="24" t="s">
        <v>1273</v>
      </c>
      <c r="C274" s="90">
        <f>8.382-0.327</f>
        <v>8.0549999999999997</v>
      </c>
      <c r="D274" s="422">
        <f t="shared" si="17"/>
        <v>8.0730000000000004</v>
      </c>
      <c r="E274" s="422">
        <f t="shared" si="18"/>
        <v>1.8000000000000682E-2</v>
      </c>
      <c r="F274" s="25" t="s">
        <v>848</v>
      </c>
      <c r="G274" s="38" t="s">
        <v>1274</v>
      </c>
      <c r="H274" s="188"/>
      <c r="I274" s="326"/>
      <c r="J274" s="250">
        <v>0.21800000000000003</v>
      </c>
      <c r="K274" s="29" t="s">
        <v>1275</v>
      </c>
      <c r="L274" s="29"/>
      <c r="M274" s="121"/>
      <c r="N274" s="68"/>
      <c r="O274" s="68"/>
      <c r="P274" s="68"/>
      <c r="Q274" s="68"/>
      <c r="R274" s="29"/>
      <c r="S274" s="29"/>
      <c r="T274" s="29"/>
      <c r="U274" s="29"/>
      <c r="V274" s="28">
        <v>0.21800000000000003</v>
      </c>
      <c r="W274" s="29" t="s">
        <v>1275</v>
      </c>
      <c r="X274" s="151"/>
      <c r="Y274" s="271"/>
      <c r="Z274" s="308">
        <v>7.8550000000000004</v>
      </c>
      <c r="AA274" s="71" t="s">
        <v>1276</v>
      </c>
      <c r="AB274" s="71">
        <v>0</v>
      </c>
      <c r="AC274" s="79">
        <v>0</v>
      </c>
      <c r="AD274" s="71">
        <v>0</v>
      </c>
      <c r="AE274" s="78">
        <v>0</v>
      </c>
      <c r="AF274" s="78">
        <v>0</v>
      </c>
      <c r="AG274" s="78">
        <v>0</v>
      </c>
      <c r="AH274" s="78">
        <v>0</v>
      </c>
      <c r="AI274" s="79">
        <f>8.4-0.545</f>
        <v>7.8550000000000004</v>
      </c>
      <c r="AJ274" s="79" t="s">
        <v>1789</v>
      </c>
      <c r="AK274" s="79"/>
      <c r="AL274" s="79"/>
      <c r="AM274" s="71">
        <v>7.8550000000000004</v>
      </c>
      <c r="AN274" s="204" t="s">
        <v>1276</v>
      </c>
      <c r="AO274" s="239"/>
      <c r="AP274" s="166"/>
      <c r="AQ274" s="167">
        <v>47</v>
      </c>
      <c r="AR274" s="168" t="s">
        <v>873</v>
      </c>
      <c r="AS274" s="169" t="s">
        <v>51</v>
      </c>
      <c r="AT274" s="156"/>
    </row>
    <row r="275" spans="1:49" ht="63" x14ac:dyDescent="0.2">
      <c r="A275" s="23" t="s">
        <v>1277</v>
      </c>
      <c r="B275" s="24" t="s">
        <v>1278</v>
      </c>
      <c r="C275" s="90">
        <f>143.769-85.666</f>
        <v>58.103000000000009</v>
      </c>
      <c r="D275" s="422">
        <f t="shared" si="17"/>
        <v>58.102999999999994</v>
      </c>
      <c r="E275" s="422">
        <f t="shared" si="18"/>
        <v>0</v>
      </c>
      <c r="F275" s="25" t="s">
        <v>731</v>
      </c>
      <c r="G275" s="38" t="s">
        <v>1279</v>
      </c>
      <c r="H275" s="188" t="s">
        <v>1279</v>
      </c>
      <c r="I275" s="326" t="s">
        <v>1278</v>
      </c>
      <c r="J275" s="250">
        <v>15.818</v>
      </c>
      <c r="K275" s="40" t="s">
        <v>1280</v>
      </c>
      <c r="L275" s="58"/>
      <c r="M275" s="121"/>
      <c r="N275" s="58"/>
      <c r="O275" s="58"/>
      <c r="P275" s="58"/>
      <c r="Q275" s="58"/>
      <c r="R275" s="57">
        <v>9</v>
      </c>
      <c r="S275" s="58" t="s">
        <v>1670</v>
      </c>
      <c r="T275" s="57">
        <v>9</v>
      </c>
      <c r="U275" s="58" t="s">
        <v>1670</v>
      </c>
      <c r="V275" s="28"/>
      <c r="W275" s="40" t="s">
        <v>1280</v>
      </c>
      <c r="X275" s="149">
        <v>15.818</v>
      </c>
      <c r="Y275" s="253" t="s">
        <v>1280</v>
      </c>
      <c r="Z275" s="301">
        <f>22.394+19.891</f>
        <v>42.284999999999997</v>
      </c>
      <c r="AA275" s="76" t="s">
        <v>1629</v>
      </c>
      <c r="AB275" s="76">
        <v>36.284999999999997</v>
      </c>
      <c r="AC275" s="76"/>
      <c r="AD275" s="76"/>
      <c r="AE275" s="76"/>
      <c r="AF275" s="76"/>
      <c r="AG275" s="76"/>
      <c r="AH275" s="76"/>
      <c r="AI275" s="339">
        <v>6</v>
      </c>
      <c r="AJ275" s="76" t="s">
        <v>1671</v>
      </c>
      <c r="AK275" s="76">
        <v>6</v>
      </c>
      <c r="AL275" s="76" t="s">
        <v>1671</v>
      </c>
      <c r="AM275" s="76">
        <f>22.394+19.891</f>
        <v>42.284999999999997</v>
      </c>
      <c r="AN275" s="304" t="s">
        <v>1629</v>
      </c>
      <c r="AO275" s="239" t="s">
        <v>1281</v>
      </c>
      <c r="AP275" s="166"/>
      <c r="AQ275" s="167">
        <v>343</v>
      </c>
      <c r="AR275" s="168" t="s">
        <v>873</v>
      </c>
      <c r="AS275" s="169" t="s">
        <v>33</v>
      </c>
      <c r="AT275" s="155">
        <v>93.278999999999996</v>
      </c>
      <c r="AU275" s="156">
        <v>95.150999999999996</v>
      </c>
      <c r="AV275" s="156">
        <f>AU275-AT275</f>
        <v>1.8719999999999999</v>
      </c>
      <c r="AW275" s="156">
        <v>6</v>
      </c>
    </row>
    <row r="276" spans="1:49" ht="84" x14ac:dyDescent="0.2">
      <c r="A276" s="23" t="s">
        <v>1282</v>
      </c>
      <c r="B276" s="24" t="s">
        <v>1283</v>
      </c>
      <c r="C276" s="90">
        <f>245.284-156.029</f>
        <v>89.254999999999995</v>
      </c>
      <c r="D276" s="422">
        <f t="shared" si="17"/>
        <v>89.254999999999995</v>
      </c>
      <c r="E276" s="422">
        <f t="shared" si="18"/>
        <v>0</v>
      </c>
      <c r="F276" s="25" t="s">
        <v>989</v>
      </c>
      <c r="G276" s="38" t="s">
        <v>1284</v>
      </c>
      <c r="H276" s="188"/>
      <c r="I276" s="326" t="s">
        <v>1283</v>
      </c>
      <c r="J276" s="250">
        <v>67.203999999999994</v>
      </c>
      <c r="K276" s="40" t="s">
        <v>1285</v>
      </c>
      <c r="L276" s="58"/>
      <c r="M276" s="121"/>
      <c r="N276" s="58"/>
      <c r="O276" s="58"/>
      <c r="P276" s="58"/>
      <c r="Q276" s="58"/>
      <c r="R276" s="57"/>
      <c r="S276" s="29" t="s">
        <v>1285</v>
      </c>
      <c r="T276" s="57"/>
      <c r="U276" s="57"/>
      <c r="V276" s="28"/>
      <c r="W276" s="40" t="s">
        <v>1285</v>
      </c>
      <c r="X276" s="149">
        <v>67.203999999999994</v>
      </c>
      <c r="Y276" s="408" t="s">
        <v>1285</v>
      </c>
      <c r="Z276" s="76">
        <v>22.050999999999998</v>
      </c>
      <c r="AA276" s="76" t="s">
        <v>1286</v>
      </c>
      <c r="AB276" s="76"/>
      <c r="AC276" s="76"/>
      <c r="AD276" s="76"/>
      <c r="AE276" s="76"/>
      <c r="AF276" s="76"/>
      <c r="AG276" s="76"/>
      <c r="AH276" s="76"/>
      <c r="AI276" s="339">
        <v>22.050999999999998</v>
      </c>
      <c r="AJ276" s="76" t="s">
        <v>1286</v>
      </c>
      <c r="AK276" s="76">
        <v>22.050999999999998</v>
      </c>
      <c r="AL276" s="76" t="s">
        <v>1286</v>
      </c>
      <c r="AM276" s="52">
        <v>22.050999999999998</v>
      </c>
      <c r="AN276" s="304" t="s">
        <v>1286</v>
      </c>
      <c r="AO276" s="239" t="s">
        <v>1287</v>
      </c>
      <c r="AP276" s="166"/>
      <c r="AQ276" s="167">
        <v>558</v>
      </c>
      <c r="AR276" s="168" t="s">
        <v>873</v>
      </c>
      <c r="AS276" s="169" t="s">
        <v>33</v>
      </c>
      <c r="AT276" s="155">
        <v>178.535</v>
      </c>
      <c r="AU276" s="156">
        <v>179.79400000000001</v>
      </c>
      <c r="AV276" s="156">
        <f t="shared" ref="AV276" si="20">AU276-AT276</f>
        <v>1.2590000000000146</v>
      </c>
      <c r="AW276" s="156">
        <v>8</v>
      </c>
    </row>
    <row r="277" spans="1:49" ht="42" x14ac:dyDescent="0.2">
      <c r="A277" s="23" t="s">
        <v>1288</v>
      </c>
      <c r="B277" s="24" t="s">
        <v>1289</v>
      </c>
      <c r="C277" s="90">
        <f>1.934-0.177</f>
        <v>1.7569999999999999</v>
      </c>
      <c r="D277" s="422">
        <f t="shared" si="17"/>
        <v>1.7569999999999999</v>
      </c>
      <c r="E277" s="422">
        <f t="shared" si="18"/>
        <v>0</v>
      </c>
      <c r="F277" s="25" t="s">
        <v>731</v>
      </c>
      <c r="G277" s="38" t="s">
        <v>1290</v>
      </c>
      <c r="H277" s="188"/>
      <c r="I277" s="326" t="s">
        <v>1289</v>
      </c>
      <c r="J277" s="257"/>
      <c r="K277" s="27"/>
      <c r="L277" s="50"/>
      <c r="M277" s="493"/>
      <c r="N277" s="50"/>
      <c r="O277" s="50"/>
      <c r="P277" s="50"/>
      <c r="Q277" s="50"/>
      <c r="R277" s="49"/>
      <c r="S277" s="50"/>
      <c r="T277" s="49"/>
      <c r="U277" s="49"/>
      <c r="V277" s="27"/>
      <c r="W277" s="27"/>
      <c r="X277" s="150"/>
      <c r="Y277" s="249"/>
      <c r="Z277" s="308">
        <v>1.7569999999999999</v>
      </c>
      <c r="AA277" s="71" t="s">
        <v>1291</v>
      </c>
      <c r="AB277" s="71">
        <v>0</v>
      </c>
      <c r="AC277" s="76"/>
      <c r="AD277" s="76"/>
      <c r="AE277" s="76"/>
      <c r="AF277" s="76"/>
      <c r="AG277" s="76"/>
      <c r="AH277" s="76"/>
      <c r="AI277" s="339">
        <f>1.934-0.177</f>
        <v>1.7569999999999999</v>
      </c>
      <c r="AJ277" s="76" t="s">
        <v>1291</v>
      </c>
      <c r="AK277" s="76">
        <f>1.934-0.177</f>
        <v>1.7569999999999999</v>
      </c>
      <c r="AL277" s="76" t="s">
        <v>1291</v>
      </c>
      <c r="AM277" s="71">
        <v>1.7569999999999999</v>
      </c>
      <c r="AN277" s="204" t="s">
        <v>1291</v>
      </c>
      <c r="AO277" s="239" t="s">
        <v>1292</v>
      </c>
      <c r="AP277" s="166"/>
      <c r="AQ277" s="167" t="s">
        <v>1293</v>
      </c>
      <c r="AR277" s="168" t="s">
        <v>60</v>
      </c>
      <c r="AS277" s="169" t="s">
        <v>51</v>
      </c>
    </row>
    <row r="278" spans="1:49" ht="52.5" x14ac:dyDescent="0.2">
      <c r="A278" s="23" t="s">
        <v>1294</v>
      </c>
      <c r="B278" s="39" t="s">
        <v>1295</v>
      </c>
      <c r="C278" s="26">
        <f>11.936-10.054+5.35-1.451</f>
        <v>5.7809999999999988</v>
      </c>
      <c r="D278" s="422">
        <f t="shared" si="17"/>
        <v>5.7809999999999988</v>
      </c>
      <c r="E278" s="422">
        <f t="shared" si="18"/>
        <v>0</v>
      </c>
      <c r="F278" s="25" t="s">
        <v>731</v>
      </c>
      <c r="G278" s="38" t="s">
        <v>1296</v>
      </c>
      <c r="H278" s="188"/>
      <c r="I278" s="326" t="s">
        <v>1297</v>
      </c>
      <c r="J278" s="250">
        <v>3.2509999999999994</v>
      </c>
      <c r="K278" s="40" t="s">
        <v>1298</v>
      </c>
      <c r="L278" s="58"/>
      <c r="M278" s="121"/>
      <c r="N278" s="58"/>
      <c r="O278" s="58"/>
      <c r="P278" s="58"/>
      <c r="Q278" s="58"/>
      <c r="R278" s="57"/>
      <c r="S278" s="58"/>
      <c r="T278" s="57"/>
      <c r="U278" s="57"/>
      <c r="V278" s="28">
        <v>3.2509999999999994</v>
      </c>
      <c r="W278" s="40" t="s">
        <v>1298</v>
      </c>
      <c r="X278" s="151"/>
      <c r="Y278" s="271"/>
      <c r="Z278" s="308">
        <v>2.5299999999999998</v>
      </c>
      <c r="AA278" s="71" t="s">
        <v>1299</v>
      </c>
      <c r="AB278" s="71">
        <v>0</v>
      </c>
      <c r="AC278" s="76"/>
      <c r="AD278" s="76"/>
      <c r="AE278" s="76"/>
      <c r="AF278" s="76"/>
      <c r="AG278" s="76"/>
      <c r="AH278" s="76"/>
      <c r="AI278" s="339">
        <v>2.5299999999999998</v>
      </c>
      <c r="AJ278" s="71" t="s">
        <v>1299</v>
      </c>
      <c r="AK278" s="76">
        <v>2.5299999999999998</v>
      </c>
      <c r="AL278" s="71" t="s">
        <v>1299</v>
      </c>
      <c r="AM278" s="71">
        <v>2.5299999999999998</v>
      </c>
      <c r="AN278" s="204" t="s">
        <v>1299</v>
      </c>
      <c r="AO278" s="239"/>
      <c r="AP278" s="166"/>
      <c r="AQ278" s="167">
        <v>30</v>
      </c>
      <c r="AR278" s="168" t="s">
        <v>873</v>
      </c>
      <c r="AS278" s="169" t="s">
        <v>51</v>
      </c>
    </row>
    <row r="279" spans="1:49" ht="52.5" x14ac:dyDescent="0.2">
      <c r="A279" s="23" t="s">
        <v>1300</v>
      </c>
      <c r="B279" s="39" t="s">
        <v>1301</v>
      </c>
      <c r="C279" s="26">
        <f>1.36-0.202+0.624-0.023</f>
        <v>1.7590000000000001</v>
      </c>
      <c r="D279" s="422">
        <f t="shared" si="17"/>
        <v>1.7589999999999999</v>
      </c>
      <c r="E279" s="422">
        <f t="shared" si="18"/>
        <v>0</v>
      </c>
      <c r="F279" s="25" t="s">
        <v>731</v>
      </c>
      <c r="G279" s="26" t="s">
        <v>1302</v>
      </c>
      <c r="H279" s="188"/>
      <c r="I279" s="326"/>
      <c r="J279" s="252">
        <v>1.7589999999999999</v>
      </c>
      <c r="K279" s="40" t="s">
        <v>1303</v>
      </c>
      <c r="L279" s="63"/>
      <c r="M279" s="121"/>
      <c r="N279" s="63"/>
      <c r="O279" s="63"/>
      <c r="P279" s="63"/>
      <c r="Q279" s="63"/>
      <c r="R279" s="62"/>
      <c r="S279" s="63"/>
      <c r="T279" s="197"/>
      <c r="U279" s="197"/>
      <c r="V279" s="263"/>
      <c r="W279" s="263"/>
      <c r="X279" s="263"/>
      <c r="Y279" s="264"/>
      <c r="Z279" s="299"/>
      <c r="AA279" s="32"/>
      <c r="AB279" s="32"/>
      <c r="AC279" s="35"/>
      <c r="AD279" s="32"/>
      <c r="AE279" s="34"/>
      <c r="AF279" s="34"/>
      <c r="AG279" s="34"/>
      <c r="AH279" s="34"/>
      <c r="AI279" s="69"/>
      <c r="AJ279" s="69"/>
      <c r="AK279" s="69"/>
      <c r="AL279" s="69"/>
      <c r="AM279" s="333"/>
      <c r="AN279" s="333"/>
      <c r="AO279" s="239"/>
      <c r="AP279" s="166"/>
      <c r="AQ279" s="167">
        <v>8</v>
      </c>
      <c r="AR279" s="168" t="s">
        <v>873</v>
      </c>
      <c r="AS279" s="169" t="s">
        <v>51</v>
      </c>
    </row>
    <row r="280" spans="1:49" ht="31.5" x14ac:dyDescent="0.2">
      <c r="A280" s="23" t="s">
        <v>1304</v>
      </c>
      <c r="B280" s="24" t="s">
        <v>1305</v>
      </c>
      <c r="C280" s="90">
        <f>52.286-0.442</f>
        <v>51.844000000000001</v>
      </c>
      <c r="D280" s="422">
        <f t="shared" si="17"/>
        <v>51.844000000000001</v>
      </c>
      <c r="E280" s="422">
        <f t="shared" si="18"/>
        <v>0</v>
      </c>
      <c r="F280" s="25" t="s">
        <v>627</v>
      </c>
      <c r="G280" s="26" t="s">
        <v>1306</v>
      </c>
      <c r="H280" s="188"/>
      <c r="I280" s="326"/>
      <c r="J280" s="252">
        <v>51.844000000000001</v>
      </c>
      <c r="K280" s="29" t="s">
        <v>1307</v>
      </c>
      <c r="L280" s="94"/>
      <c r="M280" s="121"/>
      <c r="N280" s="31"/>
      <c r="O280" s="31"/>
      <c r="P280" s="31"/>
      <c r="Q280" s="31"/>
      <c r="R280" s="94">
        <v>25.8</v>
      </c>
      <c r="S280" s="30" t="s">
        <v>1307</v>
      </c>
      <c r="T280" s="212"/>
      <c r="U280" s="212"/>
      <c r="V280" s="263"/>
      <c r="W280" s="263"/>
      <c r="X280" s="263"/>
      <c r="Y280" s="263"/>
      <c r="Z280" s="27"/>
      <c r="AA280" s="33"/>
      <c r="AB280" s="69"/>
      <c r="AC280" s="69"/>
      <c r="AD280" s="33"/>
      <c r="AE280" s="37"/>
      <c r="AF280" s="37"/>
      <c r="AG280" s="37"/>
      <c r="AH280" s="37"/>
      <c r="AI280" s="69"/>
      <c r="AJ280" s="69"/>
      <c r="AK280" s="69"/>
      <c r="AL280" s="69"/>
      <c r="AM280" s="311"/>
      <c r="AN280" s="312"/>
      <c r="AO280" s="239"/>
      <c r="AP280" s="166"/>
      <c r="AQ280" s="167">
        <v>351</v>
      </c>
      <c r="AR280" s="168" t="s">
        <v>1</v>
      </c>
      <c r="AS280" s="169" t="s">
        <v>1</v>
      </c>
      <c r="AT280" s="156"/>
    </row>
    <row r="281" spans="1:49" ht="31.5" x14ac:dyDescent="0.2">
      <c r="A281" s="23" t="s">
        <v>144</v>
      </c>
      <c r="B281" s="24" t="s">
        <v>1308</v>
      </c>
      <c r="C281" s="90">
        <f>31.848-0.376</f>
        <v>31.471999999999998</v>
      </c>
      <c r="D281" s="422">
        <f t="shared" si="17"/>
        <v>31.472000000000001</v>
      </c>
      <c r="E281" s="422">
        <f t="shared" si="18"/>
        <v>0</v>
      </c>
      <c r="F281" s="25" t="s">
        <v>989</v>
      </c>
      <c r="G281" s="38" t="s">
        <v>1309</v>
      </c>
      <c r="H281" s="188" t="s">
        <v>1309</v>
      </c>
      <c r="I281" s="326"/>
      <c r="J281" s="252">
        <v>10.124000000000001</v>
      </c>
      <c r="K281" s="28" t="s">
        <v>1792</v>
      </c>
      <c r="L281" s="46"/>
      <c r="M281" s="46"/>
      <c r="N281" s="46"/>
      <c r="O281" s="46"/>
      <c r="P281" s="46"/>
      <c r="Q281" s="46"/>
      <c r="R281" s="46">
        <v>10.124000000000001</v>
      </c>
      <c r="S281" s="46" t="s">
        <v>1792</v>
      </c>
      <c r="T281" s="46"/>
      <c r="U281" s="46"/>
      <c r="V281" s="29"/>
      <c r="W281" s="28" t="s">
        <v>1310</v>
      </c>
      <c r="X281" s="150">
        <v>10.124000000000001</v>
      </c>
      <c r="Y281" s="409" t="s">
        <v>1792</v>
      </c>
      <c r="Z281" s="71">
        <v>21.347999999999999</v>
      </c>
      <c r="AA281" s="71" t="s">
        <v>1311</v>
      </c>
      <c r="AB281" s="71">
        <v>0</v>
      </c>
      <c r="AC281" s="78">
        <v>20</v>
      </c>
      <c r="AD281" s="71" t="s">
        <v>1694</v>
      </c>
      <c r="AE281" s="73">
        <v>28</v>
      </c>
      <c r="AF281" s="73">
        <v>0</v>
      </c>
      <c r="AG281" s="73">
        <v>12</v>
      </c>
      <c r="AH281" s="73">
        <v>2</v>
      </c>
      <c r="AI281" s="79">
        <v>1.35</v>
      </c>
      <c r="AJ281" s="71" t="s">
        <v>1695</v>
      </c>
      <c r="AK281" s="71"/>
      <c r="AL281" s="71"/>
      <c r="AM281" s="248">
        <v>21.35</v>
      </c>
      <c r="AN281" s="204" t="s">
        <v>1311</v>
      </c>
      <c r="AO281" s="239"/>
      <c r="AP281" s="166">
        <v>0</v>
      </c>
      <c r="AQ281" s="167">
        <v>0</v>
      </c>
      <c r="AR281" s="168" t="s">
        <v>60</v>
      </c>
      <c r="AS281" s="169" t="s">
        <v>51</v>
      </c>
      <c r="AT281" s="156"/>
    </row>
    <row r="282" spans="1:49" ht="84" x14ac:dyDescent="0.2">
      <c r="A282" s="23" t="s">
        <v>1312</v>
      </c>
      <c r="B282" s="24" t="s">
        <v>1313</v>
      </c>
      <c r="C282" s="90">
        <f>117.321-0.411</f>
        <v>116.91</v>
      </c>
      <c r="D282" s="422">
        <f t="shared" si="17"/>
        <v>116.91</v>
      </c>
      <c r="E282" s="422">
        <f t="shared" si="18"/>
        <v>0</v>
      </c>
      <c r="F282" s="25" t="s">
        <v>731</v>
      </c>
      <c r="G282" s="38" t="s">
        <v>1314</v>
      </c>
      <c r="H282" s="188" t="s">
        <v>1315</v>
      </c>
      <c r="I282" s="326" t="s">
        <v>1313</v>
      </c>
      <c r="J282" s="250">
        <v>11.689000000000012</v>
      </c>
      <c r="K282" s="40" t="s">
        <v>1316</v>
      </c>
      <c r="L282" s="62"/>
      <c r="M282" s="46"/>
      <c r="N282" s="46"/>
      <c r="O282" s="46"/>
      <c r="P282" s="46"/>
      <c r="Q282" s="46"/>
      <c r="R282" s="46">
        <f>8.27-0.411+19.5-17.5+87.43-85.6</f>
        <v>11.689000000000021</v>
      </c>
      <c r="S282" s="46" t="s">
        <v>1316</v>
      </c>
      <c r="T282" s="46">
        <f>8.27-0.411+19.5-17.5+87.43-85.6</f>
        <v>11.689000000000021</v>
      </c>
      <c r="U282" s="46" t="s">
        <v>1316</v>
      </c>
      <c r="V282" s="28"/>
      <c r="W282" s="40" t="s">
        <v>1316</v>
      </c>
      <c r="X282" s="149">
        <v>11.689000000000012</v>
      </c>
      <c r="Y282" s="253" t="s">
        <v>1316</v>
      </c>
      <c r="Z282" s="308">
        <v>105.22099999999999</v>
      </c>
      <c r="AA282" s="72" t="s">
        <v>1672</v>
      </c>
      <c r="AB282" s="318">
        <v>67.820999999999998</v>
      </c>
      <c r="AC282" s="71">
        <v>0.9</v>
      </c>
      <c r="AD282" s="71" t="s">
        <v>1673</v>
      </c>
      <c r="AE282" s="115">
        <v>2</v>
      </c>
      <c r="AF282" s="115">
        <v>0</v>
      </c>
      <c r="AG282" s="115">
        <v>2</v>
      </c>
      <c r="AH282" s="115">
        <v>0</v>
      </c>
      <c r="AI282" s="79">
        <v>36.5</v>
      </c>
      <c r="AJ282" s="71" t="s">
        <v>1674</v>
      </c>
      <c r="AK282" s="79">
        <v>36.5</v>
      </c>
      <c r="AL282" s="71" t="s">
        <v>1674</v>
      </c>
      <c r="AM282" s="71">
        <v>105.22099999999999</v>
      </c>
      <c r="AN282" s="206" t="s">
        <v>1317</v>
      </c>
      <c r="AO282" s="239" t="s">
        <v>1318</v>
      </c>
      <c r="AP282" s="166">
        <v>0</v>
      </c>
      <c r="AQ282" s="167">
        <v>0</v>
      </c>
      <c r="AR282" s="168" t="s">
        <v>60</v>
      </c>
      <c r="AS282" s="169" t="s">
        <v>51</v>
      </c>
      <c r="AT282" s="155">
        <v>8.2710000000000008</v>
      </c>
      <c r="AU282" s="156">
        <v>9.2759999999999998</v>
      </c>
      <c r="AV282" s="156">
        <f t="shared" ref="AV282" si="21">AU282-AT282</f>
        <v>1.004999999999999</v>
      </c>
      <c r="AW282" s="156">
        <v>7</v>
      </c>
    </row>
    <row r="283" spans="1:49" ht="42" x14ac:dyDescent="0.2">
      <c r="A283" s="23" t="s">
        <v>1319</v>
      </c>
      <c r="B283" s="24" t="s">
        <v>1320</v>
      </c>
      <c r="C283" s="90">
        <f>160.803-158.385</f>
        <v>2.4180000000000064</v>
      </c>
      <c r="D283" s="422">
        <f t="shared" si="17"/>
        <v>2.4180000000000064</v>
      </c>
      <c r="E283" s="422">
        <f t="shared" si="18"/>
        <v>0</v>
      </c>
      <c r="F283" s="90" t="s">
        <v>731</v>
      </c>
      <c r="G283" s="38" t="s">
        <v>1321</v>
      </c>
      <c r="H283" s="188"/>
      <c r="I283" s="327" t="s">
        <v>1320</v>
      </c>
      <c r="J283" s="250">
        <v>2.4180000000000064</v>
      </c>
      <c r="K283" s="29" t="s">
        <v>1322</v>
      </c>
      <c r="L283" s="47"/>
      <c r="M283" s="46"/>
      <c r="N283" s="47"/>
      <c r="O283" s="47"/>
      <c r="P283" s="47"/>
      <c r="Q283" s="47"/>
      <c r="R283" s="46"/>
      <c r="S283" s="47"/>
      <c r="T283" s="46"/>
      <c r="U283" s="46"/>
      <c r="V283" s="28"/>
      <c r="W283" s="29" t="s">
        <v>1322</v>
      </c>
      <c r="X283" s="149">
        <v>2.4180000000000064</v>
      </c>
      <c r="Y283" s="249" t="s">
        <v>1322</v>
      </c>
      <c r="Z283" s="299"/>
      <c r="AA283" s="32"/>
      <c r="AB283" s="32"/>
      <c r="AC283" s="35"/>
      <c r="AD283" s="32"/>
      <c r="AE283" s="34"/>
      <c r="AF283" s="34"/>
      <c r="AG283" s="34"/>
      <c r="AH283" s="34"/>
      <c r="AI283" s="35"/>
      <c r="AJ283" s="35"/>
      <c r="AK283" s="35"/>
      <c r="AL283" s="35"/>
      <c r="AM283" s="76"/>
      <c r="AN283" s="304"/>
      <c r="AO283" s="239"/>
      <c r="AP283" s="166"/>
      <c r="AQ283" s="167">
        <v>41</v>
      </c>
      <c r="AR283" s="168" t="s">
        <v>1</v>
      </c>
      <c r="AS283" s="169" t="s">
        <v>1</v>
      </c>
    </row>
    <row r="284" spans="1:49" ht="42" x14ac:dyDescent="0.2">
      <c r="A284" s="23" t="s">
        <v>1323</v>
      </c>
      <c r="B284" s="24" t="s">
        <v>1324</v>
      </c>
      <c r="C284" s="90">
        <f>2.703-1.377</f>
        <v>1.3259999999999998</v>
      </c>
      <c r="D284" s="422">
        <f t="shared" si="17"/>
        <v>1.3259999999999998</v>
      </c>
      <c r="E284" s="422">
        <f t="shared" si="18"/>
        <v>0</v>
      </c>
      <c r="F284" s="25" t="s">
        <v>731</v>
      </c>
      <c r="G284" s="38" t="s">
        <v>1325</v>
      </c>
      <c r="H284" s="188"/>
      <c r="I284" s="326"/>
      <c r="J284" s="257"/>
      <c r="K284" s="27"/>
      <c r="L284" s="49"/>
      <c r="M284" s="49"/>
      <c r="N284" s="50"/>
      <c r="O284" s="50"/>
      <c r="P284" s="50"/>
      <c r="Q284" s="50"/>
      <c r="R284" s="49"/>
      <c r="S284" s="49"/>
      <c r="T284" s="49"/>
      <c r="U284" s="49"/>
      <c r="V284" s="27"/>
      <c r="W284" s="27"/>
      <c r="X284" s="150">
        <v>0</v>
      </c>
      <c r="Y284" s="249"/>
      <c r="Z284" s="308">
        <v>1.3259999999999998</v>
      </c>
      <c r="AA284" s="71" t="s">
        <v>1326</v>
      </c>
      <c r="AB284" s="71">
        <v>0</v>
      </c>
      <c r="AC284" s="87">
        <v>0</v>
      </c>
      <c r="AD284" s="71"/>
      <c r="AE284" s="78"/>
      <c r="AF284" s="78"/>
      <c r="AG284" s="78"/>
      <c r="AH284" s="78"/>
      <c r="AI284" s="79"/>
      <c r="AJ284" s="87"/>
      <c r="AK284" s="79"/>
      <c r="AL284" s="79"/>
      <c r="AM284" s="71">
        <v>1.3259999999999998</v>
      </c>
      <c r="AN284" s="204" t="s">
        <v>1326</v>
      </c>
      <c r="AO284" s="239"/>
      <c r="AP284" s="166"/>
      <c r="AQ284" s="167" t="s">
        <v>1327</v>
      </c>
      <c r="AR284" s="168"/>
      <c r="AS284" s="169" t="s">
        <v>51</v>
      </c>
    </row>
    <row r="285" spans="1:49" ht="42" x14ac:dyDescent="0.2">
      <c r="A285" s="23" t="s">
        <v>1328</v>
      </c>
      <c r="B285" s="24" t="s">
        <v>1329</v>
      </c>
      <c r="C285" s="90">
        <f>2.69-0.423</f>
        <v>2.2669999999999999</v>
      </c>
      <c r="D285" s="422">
        <f t="shared" si="17"/>
        <v>2.2669999999999999</v>
      </c>
      <c r="E285" s="422">
        <f t="shared" si="18"/>
        <v>0</v>
      </c>
      <c r="F285" s="25" t="s">
        <v>731</v>
      </c>
      <c r="G285" s="26" t="s">
        <v>1330</v>
      </c>
      <c r="H285" s="188"/>
      <c r="I285" s="326" t="s">
        <v>1329</v>
      </c>
      <c r="J285" s="252">
        <v>2.2669999999999999</v>
      </c>
      <c r="K285" s="29" t="s">
        <v>1331</v>
      </c>
      <c r="L285" s="47"/>
      <c r="M285" s="47"/>
      <c r="N285" s="47"/>
      <c r="O285" s="47"/>
      <c r="P285" s="47"/>
      <c r="Q285" s="47"/>
      <c r="R285" s="47">
        <f>2.69-0.423</f>
        <v>2.2669999999999999</v>
      </c>
      <c r="S285" s="47" t="s">
        <v>1331</v>
      </c>
      <c r="T285" s="47"/>
      <c r="U285" s="47"/>
      <c r="V285" s="263"/>
      <c r="W285" s="263"/>
      <c r="X285" s="263"/>
      <c r="Y285" s="264"/>
      <c r="Z285" s="299"/>
      <c r="AA285" s="32"/>
      <c r="AB285" s="32"/>
      <c r="AC285" s="35"/>
      <c r="AD285" s="32"/>
      <c r="AE285" s="34"/>
      <c r="AF285" s="34"/>
      <c r="AG285" s="34"/>
      <c r="AH285" s="34"/>
      <c r="AI285" s="69"/>
      <c r="AJ285" s="69"/>
      <c r="AK285" s="69"/>
      <c r="AL285" s="69"/>
      <c r="AM285" s="333"/>
      <c r="AN285" s="333"/>
      <c r="AO285" s="239"/>
      <c r="AP285" s="166"/>
      <c r="AQ285" s="167">
        <v>0</v>
      </c>
      <c r="AR285" s="168" t="s">
        <v>60</v>
      </c>
      <c r="AS285" s="169" t="s">
        <v>51</v>
      </c>
    </row>
    <row r="286" spans="1:49" ht="31.5" x14ac:dyDescent="0.2">
      <c r="A286" s="23" t="s">
        <v>1332</v>
      </c>
      <c r="B286" s="24" t="s">
        <v>1333</v>
      </c>
      <c r="C286" s="90">
        <f>8.677-0.342</f>
        <v>8.3349999999999991</v>
      </c>
      <c r="D286" s="422">
        <f t="shared" si="17"/>
        <v>8.3349999999999991</v>
      </c>
      <c r="E286" s="422">
        <f t="shared" si="18"/>
        <v>0</v>
      </c>
      <c r="F286" s="25" t="s">
        <v>731</v>
      </c>
      <c r="G286" s="26" t="s">
        <v>1334</v>
      </c>
      <c r="H286" s="188"/>
      <c r="I286" s="326"/>
      <c r="J286" s="250">
        <v>8.3349999999999991</v>
      </c>
      <c r="K286" s="28" t="s">
        <v>1335</v>
      </c>
      <c r="L286" s="494">
        <v>8.6</v>
      </c>
      <c r="M286" s="495" t="s">
        <v>1675</v>
      </c>
      <c r="N286" s="496">
        <v>11</v>
      </c>
      <c r="O286" s="496">
        <v>0</v>
      </c>
      <c r="P286" s="496">
        <v>8</v>
      </c>
      <c r="Q286" s="496">
        <v>0</v>
      </c>
      <c r="R286" s="47"/>
      <c r="S286" s="47"/>
      <c r="T286" s="47"/>
      <c r="U286" s="47"/>
      <c r="V286" s="263"/>
      <c r="W286" s="263"/>
      <c r="X286" s="263"/>
      <c r="Y286" s="264"/>
      <c r="Z286" s="299"/>
      <c r="AA286" s="32"/>
      <c r="AB286" s="32"/>
      <c r="AC286" s="35"/>
      <c r="AD286" s="32"/>
      <c r="AE286" s="34"/>
      <c r="AF286" s="34"/>
      <c r="AG286" s="34"/>
      <c r="AH286" s="34"/>
      <c r="AI286" s="69"/>
      <c r="AJ286" s="69"/>
      <c r="AK286" s="69"/>
      <c r="AL286" s="69"/>
      <c r="AM286" s="333"/>
      <c r="AN286" s="333"/>
      <c r="AO286" s="239"/>
      <c r="AP286" s="166">
        <v>11</v>
      </c>
      <c r="AQ286" s="167">
        <v>38</v>
      </c>
      <c r="AR286" s="168" t="s">
        <v>1</v>
      </c>
      <c r="AS286" s="169" t="s">
        <v>1</v>
      </c>
    </row>
    <row r="287" spans="1:49" ht="31.5" x14ac:dyDescent="0.2">
      <c r="A287" s="23" t="s">
        <v>1336</v>
      </c>
      <c r="B287" s="24" t="s">
        <v>1337</v>
      </c>
      <c r="C287" s="90">
        <f>6.832-0.146</f>
        <v>6.6859999999999999</v>
      </c>
      <c r="D287" s="422">
        <f t="shared" si="17"/>
        <v>6.6859999999999999</v>
      </c>
      <c r="E287" s="422">
        <f t="shared" si="18"/>
        <v>0</v>
      </c>
      <c r="F287" s="25" t="s">
        <v>731</v>
      </c>
      <c r="G287" s="26" t="s">
        <v>1338</v>
      </c>
      <c r="H287" s="188"/>
      <c r="I287" s="326" t="s">
        <v>1337</v>
      </c>
      <c r="J287" s="252">
        <v>6.6859999999999999</v>
      </c>
      <c r="K287" s="29" t="s">
        <v>1339</v>
      </c>
      <c r="L287" s="48"/>
      <c r="M287" s="47"/>
      <c r="N287" s="47"/>
      <c r="O287" s="47"/>
      <c r="P287" s="47"/>
      <c r="Q287" s="47"/>
      <c r="R287" s="340">
        <f>6.832-0.146</f>
        <v>6.6859999999999999</v>
      </c>
      <c r="S287" s="47" t="s">
        <v>1339</v>
      </c>
      <c r="T287" s="47"/>
      <c r="U287" s="47"/>
      <c r="V287" s="263"/>
      <c r="W287" s="263"/>
      <c r="X287" s="263"/>
      <c r="Y287" s="264"/>
      <c r="Z287" s="148"/>
      <c r="AA287" s="36"/>
      <c r="AB287" s="36"/>
      <c r="AC287" s="69"/>
      <c r="AD287" s="36"/>
      <c r="AE287" s="37"/>
      <c r="AF287" s="37"/>
      <c r="AG287" s="37"/>
      <c r="AH287" s="37"/>
      <c r="AI287" s="69"/>
      <c r="AJ287" s="69"/>
      <c r="AK287" s="69"/>
      <c r="AL287" s="69"/>
      <c r="AM287" s="333"/>
      <c r="AN287" s="333"/>
      <c r="AO287" s="239"/>
      <c r="AP287" s="166"/>
      <c r="AQ287" s="167">
        <v>0</v>
      </c>
      <c r="AR287" s="168" t="s">
        <v>60</v>
      </c>
      <c r="AS287" s="169" t="s">
        <v>51</v>
      </c>
    </row>
    <row r="288" spans="1:49" ht="126" x14ac:dyDescent="0.2">
      <c r="A288" s="23" t="s">
        <v>1340</v>
      </c>
      <c r="B288" s="24" t="s">
        <v>1341</v>
      </c>
      <c r="C288" s="90">
        <f>94.354-34.046</f>
        <v>60.308</v>
      </c>
      <c r="D288" s="422">
        <f t="shared" si="17"/>
        <v>60.308</v>
      </c>
      <c r="E288" s="422">
        <f t="shared" si="18"/>
        <v>0</v>
      </c>
      <c r="F288" s="25" t="s">
        <v>731</v>
      </c>
      <c r="G288" s="38" t="s">
        <v>1342</v>
      </c>
      <c r="H288" s="188"/>
      <c r="I288" s="326"/>
      <c r="J288" s="250">
        <v>60.308</v>
      </c>
      <c r="K288" s="29" t="s">
        <v>1343</v>
      </c>
      <c r="L288" s="93">
        <v>26.1</v>
      </c>
      <c r="M288" s="482" t="s">
        <v>1676</v>
      </c>
      <c r="N288" s="68">
        <v>41</v>
      </c>
      <c r="O288" s="68">
        <v>0</v>
      </c>
      <c r="P288" s="68">
        <v>27</v>
      </c>
      <c r="Q288" s="68">
        <v>0</v>
      </c>
      <c r="R288" s="93">
        <v>19.8</v>
      </c>
      <c r="S288" s="93" t="s">
        <v>1677</v>
      </c>
      <c r="T288" s="93">
        <v>7.1</v>
      </c>
      <c r="U288" s="93" t="s">
        <v>1678</v>
      </c>
      <c r="V288" s="28"/>
      <c r="W288" s="29" t="s">
        <v>1343</v>
      </c>
      <c r="X288" s="149">
        <v>60.308</v>
      </c>
      <c r="Y288" s="249" t="s">
        <v>1343</v>
      </c>
      <c r="Z288" s="299"/>
      <c r="AA288" s="33"/>
      <c r="AB288" s="33"/>
      <c r="AC288" s="341"/>
      <c r="AD288" s="342"/>
      <c r="AE288" s="343"/>
      <c r="AF288" s="343"/>
      <c r="AG288" s="343"/>
      <c r="AH288" s="343"/>
      <c r="AI288" s="341"/>
      <c r="AJ288" s="341"/>
      <c r="AK288" s="341"/>
      <c r="AL288" s="341"/>
      <c r="AM288" s="76"/>
      <c r="AN288" s="304"/>
      <c r="AO288" s="239"/>
      <c r="AP288" s="166">
        <v>40</v>
      </c>
      <c r="AQ288" s="167">
        <v>380</v>
      </c>
      <c r="AR288" s="168" t="s">
        <v>873</v>
      </c>
      <c r="AS288" s="169" t="s">
        <v>33</v>
      </c>
    </row>
    <row r="289" spans="1:50" ht="42" x14ac:dyDescent="0.2">
      <c r="A289" s="23" t="s">
        <v>1344</v>
      </c>
      <c r="B289" s="24" t="s">
        <v>1345</v>
      </c>
      <c r="C289" s="90">
        <f>126.857-83.818</f>
        <v>43.039000000000001</v>
      </c>
      <c r="D289" s="422">
        <f t="shared" si="17"/>
        <v>42.69</v>
      </c>
      <c r="E289" s="422">
        <f t="shared" si="18"/>
        <v>-0.34900000000000375</v>
      </c>
      <c r="F289" s="25" t="s">
        <v>731</v>
      </c>
      <c r="G289" s="11"/>
      <c r="H289" s="188" t="s">
        <v>1346</v>
      </c>
      <c r="I289" s="326"/>
      <c r="J289" s="257"/>
      <c r="K289" s="27"/>
      <c r="L289" s="49"/>
      <c r="M289" s="49"/>
      <c r="N289" s="50"/>
      <c r="O289" s="50"/>
      <c r="P289" s="50"/>
      <c r="Q289" s="50"/>
      <c r="R289" s="49"/>
      <c r="S289" s="49"/>
      <c r="T289" s="49"/>
      <c r="U289" s="49"/>
      <c r="V289" s="27"/>
      <c r="W289" s="27"/>
      <c r="X289" s="150"/>
      <c r="Y289" s="249"/>
      <c r="Z289" s="308">
        <v>42.69</v>
      </c>
      <c r="AA289" s="71" t="s">
        <v>1347</v>
      </c>
      <c r="AB289" s="248">
        <v>0</v>
      </c>
      <c r="AC289" s="101">
        <v>16.5</v>
      </c>
      <c r="AD289" s="248" t="s">
        <v>1679</v>
      </c>
      <c r="AE289" s="317">
        <v>38</v>
      </c>
      <c r="AF289" s="317"/>
      <c r="AG289" s="317">
        <v>11</v>
      </c>
      <c r="AH289" s="317"/>
      <c r="AI289" s="101">
        <f>Z289-16.5</f>
        <v>26.189999999999998</v>
      </c>
      <c r="AJ289" s="248" t="s">
        <v>1680</v>
      </c>
      <c r="AK289" s="248">
        <v>23.6</v>
      </c>
      <c r="AL289" s="248" t="s">
        <v>1681</v>
      </c>
      <c r="AM289" s="71">
        <v>42.69</v>
      </c>
      <c r="AN289" s="204" t="s">
        <v>1347</v>
      </c>
      <c r="AO289" s="239" t="s">
        <v>1348</v>
      </c>
      <c r="AP289" s="166">
        <v>0</v>
      </c>
      <c r="AQ289" s="167">
        <v>0</v>
      </c>
      <c r="AR289" s="168" t="s">
        <v>60</v>
      </c>
      <c r="AS289" s="169" t="s">
        <v>51</v>
      </c>
      <c r="AT289" s="155">
        <v>125.77500000000001</v>
      </c>
      <c r="AU289" s="156">
        <v>126.824</v>
      </c>
      <c r="AV289" s="156">
        <f t="shared" ref="AV289" si="22">AU289-AT289</f>
        <v>1.0489999999999924</v>
      </c>
      <c r="AW289" s="156">
        <v>7</v>
      </c>
    </row>
    <row r="290" spans="1:50" ht="42" x14ac:dyDescent="0.2">
      <c r="A290" s="23" t="s">
        <v>1349</v>
      </c>
      <c r="B290" s="24" t="s">
        <v>1350</v>
      </c>
      <c r="C290" s="90">
        <f>24.876-0.561</f>
        <v>24.315000000000001</v>
      </c>
      <c r="D290" s="422">
        <f t="shared" si="17"/>
        <v>24.372</v>
      </c>
      <c r="E290" s="422">
        <f t="shared" si="18"/>
        <v>5.6999999999998607E-2</v>
      </c>
      <c r="F290" s="25" t="s">
        <v>731</v>
      </c>
      <c r="G290" s="38" t="s">
        <v>1351</v>
      </c>
      <c r="H290" s="188"/>
      <c r="I290" s="326"/>
      <c r="J290" s="257"/>
      <c r="K290" s="27"/>
      <c r="L290" s="49"/>
      <c r="M290" s="49"/>
      <c r="N290" s="50"/>
      <c r="O290" s="50"/>
      <c r="P290" s="50"/>
      <c r="Q290" s="50"/>
      <c r="R290" s="49"/>
      <c r="S290" s="49"/>
      <c r="T290" s="49"/>
      <c r="U290" s="49"/>
      <c r="V290" s="27"/>
      <c r="W290" s="27"/>
      <c r="X290" s="150"/>
      <c r="Y290" s="249"/>
      <c r="Z290" s="308">
        <v>24.372</v>
      </c>
      <c r="AA290" s="71" t="s">
        <v>1352</v>
      </c>
      <c r="AB290" s="71">
        <v>0</v>
      </c>
      <c r="AC290" s="79">
        <v>23.4</v>
      </c>
      <c r="AD290" s="248" t="s">
        <v>1682</v>
      </c>
      <c r="AE290" s="78">
        <v>53</v>
      </c>
      <c r="AF290" s="78">
        <v>0</v>
      </c>
      <c r="AG290" s="78">
        <v>53</v>
      </c>
      <c r="AH290" s="78"/>
      <c r="AI290" s="101">
        <v>0.93300000000000005</v>
      </c>
      <c r="AJ290" s="248" t="s">
        <v>1353</v>
      </c>
      <c r="AK290" s="248"/>
      <c r="AL290" s="248"/>
      <c r="AM290" s="71">
        <v>24.372</v>
      </c>
      <c r="AN290" s="204" t="s">
        <v>1352</v>
      </c>
      <c r="AO290" s="239"/>
      <c r="AP290" s="166">
        <v>0</v>
      </c>
      <c r="AQ290" s="167">
        <v>0</v>
      </c>
      <c r="AR290" s="168" t="s">
        <v>60</v>
      </c>
      <c r="AS290" s="169" t="s">
        <v>51</v>
      </c>
    </row>
    <row r="291" spans="1:50" ht="21" x14ac:dyDescent="0.2">
      <c r="A291" s="23" t="s">
        <v>1354</v>
      </c>
      <c r="B291" s="24" t="s">
        <v>1355</v>
      </c>
      <c r="C291" s="90">
        <f>9.482-0.357</f>
        <v>9.125</v>
      </c>
      <c r="D291" s="422">
        <f t="shared" si="17"/>
        <v>9.125</v>
      </c>
      <c r="E291" s="422">
        <f t="shared" si="18"/>
        <v>0</v>
      </c>
      <c r="F291" s="25" t="s">
        <v>731</v>
      </c>
      <c r="G291" s="11"/>
      <c r="H291" s="188" t="s">
        <v>1356</v>
      </c>
      <c r="I291" s="326"/>
      <c r="J291" s="257"/>
      <c r="K291" s="27"/>
      <c r="L291" s="49"/>
      <c r="M291" s="49"/>
      <c r="N291" s="50"/>
      <c r="O291" s="50"/>
      <c r="P291" s="50"/>
      <c r="Q291" s="50"/>
      <c r="R291" s="49"/>
      <c r="S291" s="49"/>
      <c r="T291" s="49"/>
      <c r="U291" s="49"/>
      <c r="V291" s="27"/>
      <c r="W291" s="27"/>
      <c r="X291" s="150"/>
      <c r="Y291" s="249"/>
      <c r="Z291" s="308">
        <v>9.125</v>
      </c>
      <c r="AA291" s="71" t="s">
        <v>1357</v>
      </c>
      <c r="AB291" s="248">
        <v>0</v>
      </c>
      <c r="AC291" s="101">
        <v>5.3</v>
      </c>
      <c r="AD291" s="248" t="s">
        <v>1358</v>
      </c>
      <c r="AE291" s="317">
        <v>15</v>
      </c>
      <c r="AF291" s="317"/>
      <c r="AG291" s="317">
        <v>1</v>
      </c>
      <c r="AH291" s="317"/>
      <c r="AI291" s="101">
        <f>3.6-0.357+9.482-8.9</f>
        <v>3.8249999999999993</v>
      </c>
      <c r="AJ291" s="248" t="s">
        <v>1359</v>
      </c>
      <c r="AK291" s="248"/>
      <c r="AL291" s="248"/>
      <c r="AM291" s="71"/>
      <c r="AN291" s="204"/>
      <c r="AO291" s="239"/>
      <c r="AP291" s="166">
        <v>0</v>
      </c>
      <c r="AQ291" s="167">
        <v>0</v>
      </c>
      <c r="AR291" s="168" t="s">
        <v>60</v>
      </c>
      <c r="AS291" s="169" t="s">
        <v>51</v>
      </c>
    </row>
    <row r="292" spans="1:50" ht="31.5" x14ac:dyDescent="0.2">
      <c r="A292" s="23" t="s">
        <v>1360</v>
      </c>
      <c r="B292" s="24" t="s">
        <v>1361</v>
      </c>
      <c r="C292" s="90">
        <f>36.873-0.459</f>
        <v>36.413999999999994</v>
      </c>
      <c r="D292" s="422">
        <f t="shared" si="17"/>
        <v>36.414000000000001</v>
      </c>
      <c r="E292" s="422">
        <f t="shared" si="18"/>
        <v>0</v>
      </c>
      <c r="F292" s="25" t="s">
        <v>731</v>
      </c>
      <c r="G292" s="26" t="s">
        <v>1362</v>
      </c>
      <c r="H292" s="188"/>
      <c r="I292" s="326"/>
      <c r="J292" s="250">
        <v>14.712999999999999</v>
      </c>
      <c r="K292" s="40" t="s">
        <v>1683</v>
      </c>
      <c r="L292" s="250">
        <v>14.712999999999999</v>
      </c>
      <c r="M292" s="40" t="s">
        <v>1683</v>
      </c>
      <c r="N292" s="58">
        <v>21</v>
      </c>
      <c r="O292" s="58">
        <v>0</v>
      </c>
      <c r="P292" s="58">
        <v>13</v>
      </c>
      <c r="Q292" s="58">
        <v>0</v>
      </c>
      <c r="R292" s="57"/>
      <c r="S292" s="57"/>
      <c r="T292" s="57"/>
      <c r="U292" s="57"/>
      <c r="V292" s="29"/>
      <c r="W292" s="29"/>
      <c r="X292" s="150"/>
      <c r="Y292" s="249"/>
      <c r="Z292" s="301">
        <v>21.701000000000001</v>
      </c>
      <c r="AA292" s="76" t="s">
        <v>1684</v>
      </c>
      <c r="AB292" s="53">
        <v>0</v>
      </c>
      <c r="AC292" s="76">
        <v>21.701000000000001</v>
      </c>
      <c r="AD292" s="76" t="s">
        <v>1684</v>
      </c>
      <c r="AE292" s="78">
        <v>21</v>
      </c>
      <c r="AF292" s="78">
        <v>0</v>
      </c>
      <c r="AG292" s="78">
        <v>15</v>
      </c>
      <c r="AH292" s="78">
        <v>1</v>
      </c>
      <c r="AI292" s="248"/>
      <c r="AJ292" s="248"/>
      <c r="AK292" s="248"/>
      <c r="AL292" s="248"/>
      <c r="AM292" s="71"/>
      <c r="AN292" s="204"/>
      <c r="AO292" s="239"/>
      <c r="AP292" s="166">
        <v>47</v>
      </c>
      <c r="AQ292" s="170">
        <v>181</v>
      </c>
      <c r="AR292" s="168" t="s">
        <v>873</v>
      </c>
      <c r="AS292" s="169" t="s">
        <v>33</v>
      </c>
    </row>
    <row r="293" spans="1:50" ht="52.5" x14ac:dyDescent="0.2">
      <c r="A293" s="23" t="s">
        <v>1363</v>
      </c>
      <c r="B293" s="24" t="s">
        <v>1364</v>
      </c>
      <c r="C293" s="90">
        <f>87.901-1.351</f>
        <v>86.55</v>
      </c>
      <c r="D293" s="422">
        <f t="shared" si="17"/>
        <v>86.55</v>
      </c>
      <c r="E293" s="422">
        <f t="shared" si="18"/>
        <v>0</v>
      </c>
      <c r="F293" s="25" t="s">
        <v>1365</v>
      </c>
      <c r="G293" s="38" t="s">
        <v>1366</v>
      </c>
      <c r="H293" s="188" t="s">
        <v>1367</v>
      </c>
      <c r="I293" s="330" t="s">
        <v>1364</v>
      </c>
      <c r="J293" s="250">
        <v>26.256999999999998</v>
      </c>
      <c r="K293" s="29" t="s">
        <v>1368</v>
      </c>
      <c r="L293" s="28"/>
      <c r="M293" s="28"/>
      <c r="N293" s="48"/>
      <c r="O293" s="48"/>
      <c r="P293" s="48"/>
      <c r="Q293" s="48"/>
      <c r="R293" s="28">
        <v>26.257000000000001</v>
      </c>
      <c r="S293" s="29" t="s">
        <v>1368</v>
      </c>
      <c r="T293" s="250">
        <v>26.256999999999998</v>
      </c>
      <c r="U293" s="29" t="s">
        <v>1368</v>
      </c>
      <c r="V293" s="28">
        <v>26.257000000000001</v>
      </c>
      <c r="W293" s="29" t="s">
        <v>1368</v>
      </c>
      <c r="X293" s="149"/>
      <c r="Y293" s="249"/>
      <c r="Z293" s="309">
        <f>2.499+57.794</f>
        <v>60.292999999999999</v>
      </c>
      <c r="AA293" s="98" t="s">
        <v>1369</v>
      </c>
      <c r="AB293" s="98">
        <v>60.292999999999999</v>
      </c>
      <c r="AC293" s="61"/>
      <c r="AD293" s="248"/>
      <c r="AE293" s="60"/>
      <c r="AF293" s="60"/>
      <c r="AG293" s="60"/>
      <c r="AH293" s="60"/>
      <c r="AI293" s="248"/>
      <c r="AJ293" s="248"/>
      <c r="AK293" s="248"/>
      <c r="AL293" s="248"/>
      <c r="AM293" s="98">
        <f>2.499+57.794</f>
        <v>60.292999999999999</v>
      </c>
      <c r="AN293" s="298" t="s">
        <v>1369</v>
      </c>
      <c r="AO293" s="239" t="s">
        <v>1370</v>
      </c>
      <c r="AP293" s="166"/>
      <c r="AQ293" s="167">
        <v>710</v>
      </c>
      <c r="AR293" s="168" t="s">
        <v>1</v>
      </c>
      <c r="AS293" s="169" t="s">
        <v>33</v>
      </c>
      <c r="AT293" s="156">
        <v>46.396999999999998</v>
      </c>
      <c r="AU293" s="156">
        <v>47.436999999999998</v>
      </c>
      <c r="AV293" s="156">
        <f>AU293-AT293</f>
        <v>1.0399999999999991</v>
      </c>
      <c r="AW293" s="156">
        <v>10</v>
      </c>
      <c r="AX293" s="156">
        <v>10</v>
      </c>
    </row>
    <row r="294" spans="1:50" ht="21" x14ac:dyDescent="0.2">
      <c r="A294" s="23" t="s">
        <v>1371</v>
      </c>
      <c r="B294" s="24" t="s">
        <v>1372</v>
      </c>
      <c r="C294" s="90">
        <f>10.934-0.364</f>
        <v>10.569999999999999</v>
      </c>
      <c r="D294" s="422">
        <f t="shared" si="17"/>
        <v>10.569999999999999</v>
      </c>
      <c r="E294" s="422">
        <f t="shared" si="18"/>
        <v>0</v>
      </c>
      <c r="F294" s="25" t="s">
        <v>811</v>
      </c>
      <c r="G294" s="26" t="s">
        <v>1373</v>
      </c>
      <c r="H294" s="188"/>
      <c r="I294" s="326"/>
      <c r="J294" s="257"/>
      <c r="K294" s="27"/>
      <c r="L294" s="27"/>
      <c r="M294" s="27"/>
      <c r="N294" s="37"/>
      <c r="O294" s="37"/>
      <c r="P294" s="37"/>
      <c r="Q294" s="34"/>
      <c r="R294" s="27"/>
      <c r="S294" s="545"/>
      <c r="T294" s="27"/>
      <c r="U294" s="545"/>
      <c r="V294" s="27"/>
      <c r="W294" s="27"/>
      <c r="X294" s="150"/>
      <c r="Y294" s="249"/>
      <c r="Z294" s="308">
        <v>10.569999999999999</v>
      </c>
      <c r="AA294" s="124" t="s">
        <v>1374</v>
      </c>
      <c r="AB294" s="124"/>
      <c r="AC294" s="126">
        <v>0</v>
      </c>
      <c r="AD294" s="102">
        <v>0</v>
      </c>
      <c r="AE294" s="125">
        <v>0</v>
      </c>
      <c r="AF294" s="125">
        <v>0</v>
      </c>
      <c r="AG294" s="125">
        <v>0</v>
      </c>
      <c r="AH294" s="125">
        <v>0</v>
      </c>
      <c r="AI294" s="308">
        <v>10.569999999999999</v>
      </c>
      <c r="AJ294" s="248" t="s">
        <v>1819</v>
      </c>
      <c r="AK294" s="248"/>
      <c r="AL294" s="248"/>
      <c r="AM294" s="308">
        <v>10.569999999999999</v>
      </c>
      <c r="AN294" s="124" t="s">
        <v>1374</v>
      </c>
      <c r="AO294" s="239"/>
      <c r="AP294" s="166"/>
      <c r="AQ294" s="167">
        <v>0</v>
      </c>
      <c r="AR294" s="168" t="s">
        <v>60</v>
      </c>
      <c r="AS294" s="169" t="s">
        <v>51</v>
      </c>
      <c r="AT294" s="156"/>
    </row>
    <row r="295" spans="1:50" ht="31.5" x14ac:dyDescent="0.2">
      <c r="A295" s="23" t="s">
        <v>1375</v>
      </c>
      <c r="B295" s="24" t="s">
        <v>1376</v>
      </c>
      <c r="C295" s="90">
        <f>60.53-0.447</f>
        <v>60.082999999999998</v>
      </c>
      <c r="D295" s="422">
        <f t="shared" si="17"/>
        <v>60.082999999999998</v>
      </c>
      <c r="E295" s="422">
        <f t="shared" si="18"/>
        <v>0</v>
      </c>
      <c r="F295" s="25" t="s">
        <v>811</v>
      </c>
      <c r="G295" s="11"/>
      <c r="H295" s="188" t="s">
        <v>1377</v>
      </c>
      <c r="I295" s="326"/>
      <c r="J295" s="257"/>
      <c r="K295" s="27"/>
      <c r="L295" s="80"/>
      <c r="M295" s="80"/>
      <c r="N295" s="81"/>
      <c r="O295" s="81"/>
      <c r="P295" s="81"/>
      <c r="Q295" s="552"/>
      <c r="R295" s="27"/>
      <c r="S295" s="541"/>
      <c r="T295" s="27"/>
      <c r="U295" s="541"/>
      <c r="V295" s="27"/>
      <c r="W295" s="27"/>
      <c r="X295" s="150"/>
      <c r="Y295" s="249"/>
      <c r="Z295" s="308">
        <v>60.082999999999998</v>
      </c>
      <c r="AA295" s="124" t="s">
        <v>1378</v>
      </c>
      <c r="AB295" s="319"/>
      <c r="AC295" s="476">
        <v>33.700000000000003</v>
      </c>
      <c r="AD295" s="248" t="s">
        <v>1733</v>
      </c>
      <c r="AE295" s="320">
        <v>67</v>
      </c>
      <c r="AF295" s="320">
        <v>13</v>
      </c>
      <c r="AG295" s="320">
        <v>33</v>
      </c>
      <c r="AH295" s="320">
        <v>3</v>
      </c>
      <c r="AI295" s="476">
        <v>27.8</v>
      </c>
      <c r="AJ295" s="248" t="s">
        <v>1734</v>
      </c>
      <c r="AK295" s="476">
        <v>1.6</v>
      </c>
      <c r="AL295" s="79" t="s">
        <v>1769</v>
      </c>
      <c r="AM295" s="308">
        <v>60.082999999999998</v>
      </c>
      <c r="AN295" s="124" t="s">
        <v>1378</v>
      </c>
      <c r="AO295" s="239"/>
      <c r="AP295" s="166">
        <v>0</v>
      </c>
      <c r="AQ295" s="170">
        <v>0</v>
      </c>
      <c r="AR295" s="168" t="s">
        <v>60</v>
      </c>
      <c r="AS295" s="169" t="s">
        <v>51</v>
      </c>
      <c r="AT295" s="156"/>
    </row>
    <row r="296" spans="1:50" ht="31.5" x14ac:dyDescent="0.2">
      <c r="A296" s="23" t="s">
        <v>1379</v>
      </c>
      <c r="B296" s="24" t="s">
        <v>1380</v>
      </c>
      <c r="C296" s="90">
        <f>16.972-0.459</f>
        <v>16.513000000000002</v>
      </c>
      <c r="D296" s="422">
        <f t="shared" si="17"/>
        <v>16.513000000000002</v>
      </c>
      <c r="E296" s="422">
        <f t="shared" si="18"/>
        <v>0</v>
      </c>
      <c r="F296" s="25" t="s">
        <v>811</v>
      </c>
      <c r="G296" s="26" t="s">
        <v>1381</v>
      </c>
      <c r="H296" s="188"/>
      <c r="I296" s="326"/>
      <c r="J296" s="257"/>
      <c r="K296" s="36"/>
      <c r="L296" s="36"/>
      <c r="M296" s="36"/>
      <c r="N296" s="37"/>
      <c r="O296" s="37"/>
      <c r="P296" s="37"/>
      <c r="Q296" s="34"/>
      <c r="R296" s="36"/>
      <c r="S296" s="540"/>
      <c r="T296" s="36"/>
      <c r="U296" s="540"/>
      <c r="V296" s="27"/>
      <c r="W296" s="27"/>
      <c r="X296" s="150"/>
      <c r="Y296" s="249"/>
      <c r="Z296" s="302">
        <v>16.513000000000002</v>
      </c>
      <c r="AA296" s="102" t="s">
        <v>1382</v>
      </c>
      <c r="AB296" s="302">
        <v>16.513000000000002</v>
      </c>
      <c r="AC296" s="104">
        <v>0</v>
      </c>
      <c r="AD296" s="102">
        <v>0</v>
      </c>
      <c r="AE296" s="103">
        <v>0</v>
      </c>
      <c r="AF296" s="103">
        <v>0</v>
      </c>
      <c r="AG296" s="103">
        <v>0</v>
      </c>
      <c r="AH296" s="103">
        <v>0</v>
      </c>
      <c r="AI296" s="104">
        <v>0</v>
      </c>
      <c r="AJ296" s="104"/>
      <c r="AK296" s="207"/>
      <c r="AL296" s="207"/>
      <c r="AM296" s="302">
        <v>16.513000000000002</v>
      </c>
      <c r="AN296" s="102" t="s">
        <v>1382</v>
      </c>
      <c r="AO296" s="239"/>
      <c r="AP296" s="174"/>
      <c r="AQ296" s="424">
        <v>93</v>
      </c>
      <c r="AR296" s="168" t="s">
        <v>1</v>
      </c>
      <c r="AS296" s="169" t="s">
        <v>1</v>
      </c>
      <c r="AT296" s="156"/>
    </row>
    <row r="297" spans="1:50" ht="63" x14ac:dyDescent="0.2">
      <c r="A297" s="23" t="s">
        <v>1383</v>
      </c>
      <c r="B297" s="24" t="s">
        <v>1384</v>
      </c>
      <c r="C297" s="90">
        <f>111.088-61.6</f>
        <v>49.487999999999992</v>
      </c>
      <c r="D297" s="422">
        <f t="shared" si="17"/>
        <v>49.487999999999992</v>
      </c>
      <c r="E297" s="422">
        <f t="shared" si="18"/>
        <v>0</v>
      </c>
      <c r="F297" s="25" t="s">
        <v>1198</v>
      </c>
      <c r="G297" s="38" t="s">
        <v>1385</v>
      </c>
      <c r="H297" s="188" t="s">
        <v>1386</v>
      </c>
      <c r="I297" s="326"/>
      <c r="J297" s="250">
        <v>21.263999999999989</v>
      </c>
      <c r="K297" s="40" t="s">
        <v>1387</v>
      </c>
      <c r="L297" s="41">
        <f>100.6-86.65</f>
        <v>13.949999999999989</v>
      </c>
      <c r="M297" s="28" t="s">
        <v>1388</v>
      </c>
      <c r="N297" s="42">
        <v>21</v>
      </c>
      <c r="O297" s="42">
        <v>0</v>
      </c>
      <c r="P297" s="42">
        <v>21</v>
      </c>
      <c r="Q297" s="42"/>
      <c r="R297" s="41">
        <v>4</v>
      </c>
      <c r="S297" s="41" t="s">
        <v>1829</v>
      </c>
      <c r="T297" s="41">
        <v>4</v>
      </c>
      <c r="U297" s="41" t="s">
        <v>1829</v>
      </c>
      <c r="V297" s="41">
        <v>7.3140000000000001</v>
      </c>
      <c r="W297" s="41" t="s">
        <v>1829</v>
      </c>
      <c r="X297" s="149">
        <v>13.95</v>
      </c>
      <c r="Y297" s="253" t="s">
        <v>1830</v>
      </c>
      <c r="Z297" s="308">
        <v>28.224000000000004</v>
      </c>
      <c r="AA297" s="72" t="s">
        <v>1389</v>
      </c>
      <c r="AB297" s="318"/>
      <c r="AC297" s="115">
        <f>(110.3-100.6)+(86.65-70)</f>
        <v>26.350000000000009</v>
      </c>
      <c r="AD297" s="248" t="s">
        <v>1390</v>
      </c>
      <c r="AE297" s="115">
        <v>35</v>
      </c>
      <c r="AF297" s="115">
        <v>0</v>
      </c>
      <c r="AG297" s="115">
        <v>11</v>
      </c>
      <c r="AH297" s="115">
        <v>0</v>
      </c>
      <c r="AI297" s="207">
        <v>0</v>
      </c>
      <c r="AJ297" s="115"/>
      <c r="AK297" s="207"/>
      <c r="AL297" s="207"/>
      <c r="AM297" s="71">
        <v>28.224000000000004</v>
      </c>
      <c r="AN297" s="206" t="s">
        <v>1389</v>
      </c>
      <c r="AO297" s="239"/>
      <c r="AP297" s="166">
        <v>56</v>
      </c>
      <c r="AQ297" s="167">
        <v>250</v>
      </c>
      <c r="AR297" s="168" t="s">
        <v>1</v>
      </c>
      <c r="AS297" s="169" t="s">
        <v>1</v>
      </c>
      <c r="AT297" s="156"/>
    </row>
    <row r="298" spans="1:50" ht="42" x14ac:dyDescent="0.2">
      <c r="A298" s="23" t="s">
        <v>1391</v>
      </c>
      <c r="B298" s="24" t="s">
        <v>1392</v>
      </c>
      <c r="C298" s="90">
        <v>22.5</v>
      </c>
      <c r="D298" s="422">
        <f t="shared" si="17"/>
        <v>22.5</v>
      </c>
      <c r="E298" s="422">
        <f t="shared" si="18"/>
        <v>0</v>
      </c>
      <c r="F298" s="25" t="s">
        <v>848</v>
      </c>
      <c r="G298" s="38" t="s">
        <v>1393</v>
      </c>
      <c r="H298" s="188" t="s">
        <v>1394</v>
      </c>
      <c r="I298" s="326" t="s">
        <v>1395</v>
      </c>
      <c r="J298" s="257"/>
      <c r="K298" s="27"/>
      <c r="L298" s="80"/>
      <c r="M298" s="80"/>
      <c r="N298" s="81"/>
      <c r="O298" s="81"/>
      <c r="P298" s="81"/>
      <c r="Q298" s="81"/>
      <c r="R298" s="80"/>
      <c r="S298" s="80"/>
      <c r="T298" s="80"/>
      <c r="U298" s="80"/>
      <c r="V298" s="27"/>
      <c r="W298" s="27"/>
      <c r="X298" s="361"/>
      <c r="Y298" s="419"/>
      <c r="Z298" s="301">
        <v>22.5</v>
      </c>
      <c r="AA298" s="53" t="s">
        <v>1396</v>
      </c>
      <c r="AB298" s="53"/>
      <c r="AC298" s="53">
        <v>0</v>
      </c>
      <c r="AD298" s="53"/>
      <c r="AE298" s="53">
        <v>0</v>
      </c>
      <c r="AF298" s="53">
        <v>0</v>
      </c>
      <c r="AG298" s="53">
        <v>0</v>
      </c>
      <c r="AH298" s="53">
        <v>0</v>
      </c>
      <c r="AI298" s="53">
        <v>0</v>
      </c>
      <c r="AJ298" s="53">
        <v>0</v>
      </c>
      <c r="AK298" s="53"/>
      <c r="AL298" s="53"/>
      <c r="AM298" s="76">
        <f>9.225+13.275</f>
        <v>22.5</v>
      </c>
      <c r="AN298" s="304" t="s">
        <v>1396</v>
      </c>
      <c r="AO298" s="241" t="s">
        <v>1397</v>
      </c>
      <c r="AP298" s="166"/>
      <c r="AQ298" s="167">
        <v>0</v>
      </c>
      <c r="AR298" s="168" t="s">
        <v>60</v>
      </c>
      <c r="AS298" s="169" t="s">
        <v>51</v>
      </c>
      <c r="AT298" s="156">
        <v>6.9340000000000002</v>
      </c>
      <c r="AU298" s="156">
        <v>8.9260000000000002</v>
      </c>
      <c r="AV298" s="156">
        <f t="shared" ref="AV298" si="23">AU298-AT298</f>
        <v>1.992</v>
      </c>
      <c r="AW298" s="156">
        <v>32</v>
      </c>
      <c r="AX298" s="156">
        <v>32</v>
      </c>
    </row>
    <row r="299" spans="1:50" ht="42" x14ac:dyDescent="0.2">
      <c r="A299" s="23" t="s">
        <v>1398</v>
      </c>
      <c r="B299" s="24" t="s">
        <v>1399</v>
      </c>
      <c r="C299" s="90">
        <f>13.249-0.16</f>
        <v>13.089</v>
      </c>
      <c r="D299" s="422">
        <f t="shared" si="17"/>
        <v>13.089</v>
      </c>
      <c r="E299" s="422">
        <f t="shared" si="18"/>
        <v>0</v>
      </c>
      <c r="F299" s="25" t="s">
        <v>811</v>
      </c>
      <c r="G299" s="26" t="s">
        <v>1400</v>
      </c>
      <c r="H299" s="188"/>
      <c r="I299" s="326"/>
      <c r="J299" s="250">
        <v>3</v>
      </c>
      <c r="K299" s="28" t="s">
        <v>1401</v>
      </c>
      <c r="L299" s="28"/>
      <c r="M299" s="28"/>
      <c r="N299" s="48"/>
      <c r="O299" s="48"/>
      <c r="P299" s="48"/>
      <c r="Q299" s="555"/>
      <c r="R299" s="28"/>
      <c r="S299" s="542"/>
      <c r="T299" s="550"/>
      <c r="U299" s="195"/>
      <c r="V299" s="28">
        <v>3</v>
      </c>
      <c r="W299" s="28" t="s">
        <v>1401</v>
      </c>
      <c r="X299" s="263"/>
      <c r="Y299" s="264"/>
      <c r="Z299" s="308">
        <v>10.089</v>
      </c>
      <c r="AA299" s="124" t="s">
        <v>1402</v>
      </c>
      <c r="AB299" s="124"/>
      <c r="AC299" s="126">
        <v>0</v>
      </c>
      <c r="AD299" s="248">
        <v>0</v>
      </c>
      <c r="AE299" s="125">
        <v>0</v>
      </c>
      <c r="AF299" s="125">
        <v>0</v>
      </c>
      <c r="AG299" s="125">
        <v>0</v>
      </c>
      <c r="AH299" s="125">
        <v>0</v>
      </c>
      <c r="AI299" s="126">
        <v>13.6</v>
      </c>
      <c r="AJ299" s="248" t="s">
        <v>1735</v>
      </c>
      <c r="AK299" s="476"/>
      <c r="AL299" s="79"/>
      <c r="AM299" s="308">
        <v>10.089</v>
      </c>
      <c r="AN299" s="124" t="s">
        <v>1402</v>
      </c>
      <c r="AO299" s="239"/>
      <c r="AP299" s="166"/>
      <c r="AQ299" s="167">
        <v>0</v>
      </c>
      <c r="AR299" s="168" t="s">
        <v>60</v>
      </c>
      <c r="AS299" s="169" t="s">
        <v>51</v>
      </c>
      <c r="AT299" s="156"/>
    </row>
    <row r="300" spans="1:50" ht="31.5" x14ac:dyDescent="0.2">
      <c r="A300" s="23" t="s">
        <v>1403</v>
      </c>
      <c r="B300" s="24" t="s">
        <v>1404</v>
      </c>
      <c r="C300" s="90">
        <f>6.379-0.445</f>
        <v>5.9339999999999993</v>
      </c>
      <c r="D300" s="422">
        <f t="shared" si="17"/>
        <v>6.3789999999999996</v>
      </c>
      <c r="E300" s="422">
        <f t="shared" si="18"/>
        <v>0.44500000000000028</v>
      </c>
      <c r="F300" s="25" t="s">
        <v>848</v>
      </c>
      <c r="G300" s="38" t="s">
        <v>1405</v>
      </c>
      <c r="H300" s="188"/>
      <c r="I300" s="326"/>
      <c r="J300" s="257"/>
      <c r="K300" s="27"/>
      <c r="L300" s="27"/>
      <c r="M300" s="27"/>
      <c r="N300" s="37"/>
      <c r="O300" s="37"/>
      <c r="P300" s="37"/>
      <c r="Q300" s="37"/>
      <c r="R300" s="27"/>
      <c r="S300" s="27"/>
      <c r="T300" s="27"/>
      <c r="U300" s="27"/>
      <c r="V300" s="27"/>
      <c r="W300" s="27"/>
      <c r="X300" s="361"/>
      <c r="Y300" s="419"/>
      <c r="Z300" s="308">
        <v>6.3789999999999996</v>
      </c>
      <c r="AA300" s="71">
        <v>0</v>
      </c>
      <c r="AB300" s="71">
        <f>Z300</f>
        <v>6.3789999999999996</v>
      </c>
      <c r="AC300" s="79">
        <v>0</v>
      </c>
      <c r="AD300" s="248">
        <v>0</v>
      </c>
      <c r="AE300" s="78">
        <v>0</v>
      </c>
      <c r="AF300" s="78">
        <v>0</v>
      </c>
      <c r="AG300" s="78">
        <v>0</v>
      </c>
      <c r="AH300" s="78">
        <v>0</v>
      </c>
      <c r="AI300" s="79">
        <v>0</v>
      </c>
      <c r="AJ300" s="53"/>
      <c r="AK300" s="79"/>
      <c r="AL300" s="79"/>
      <c r="AM300" s="71">
        <v>6.3789999999999996</v>
      </c>
      <c r="AN300" s="204" t="s">
        <v>1621</v>
      </c>
      <c r="AO300" s="239"/>
      <c r="AP300" s="166"/>
      <c r="AQ300" s="167">
        <v>0</v>
      </c>
      <c r="AR300" s="168" t="s">
        <v>60</v>
      </c>
      <c r="AS300" s="169" t="s">
        <v>51</v>
      </c>
      <c r="AT300" s="156"/>
    </row>
    <row r="301" spans="1:50" ht="21" x14ac:dyDescent="0.2">
      <c r="A301" s="23" t="s">
        <v>1406</v>
      </c>
      <c r="B301" s="24" t="s">
        <v>1407</v>
      </c>
      <c r="C301" s="90">
        <f>-1.586+25.841</f>
        <v>24.255000000000003</v>
      </c>
      <c r="D301" s="422">
        <f t="shared" si="17"/>
        <v>24.254999999999999</v>
      </c>
      <c r="E301" s="422">
        <f t="shared" si="18"/>
        <v>0</v>
      </c>
      <c r="F301" s="25" t="s">
        <v>848</v>
      </c>
      <c r="G301" s="38" t="s">
        <v>1408</v>
      </c>
      <c r="H301" s="188"/>
      <c r="I301" s="326" t="s">
        <v>1409</v>
      </c>
      <c r="J301" s="250">
        <v>24.254999999999999</v>
      </c>
      <c r="K301" s="29" t="s">
        <v>1410</v>
      </c>
      <c r="L301" s="30">
        <f>25.9-2.9</f>
        <v>23</v>
      </c>
      <c r="M301" s="30" t="s">
        <v>1411</v>
      </c>
      <c r="N301" s="31">
        <v>26</v>
      </c>
      <c r="O301" s="31">
        <v>0</v>
      </c>
      <c r="P301" s="31">
        <v>17</v>
      </c>
      <c r="Q301" s="31">
        <v>0</v>
      </c>
      <c r="R301" s="30">
        <v>0</v>
      </c>
      <c r="S301" s="30"/>
      <c r="T301" s="29"/>
      <c r="U301" s="29"/>
      <c r="V301" s="28"/>
      <c r="W301" s="29"/>
      <c r="X301" s="149">
        <v>24.254999999999999</v>
      </c>
      <c r="Y301" s="249" t="s">
        <v>1410</v>
      </c>
      <c r="Z301" s="299"/>
      <c r="AA301" s="32"/>
      <c r="AB301" s="32"/>
      <c r="AC301" s="35"/>
      <c r="AD301" s="32"/>
      <c r="AE301" s="34"/>
      <c r="AF301" s="34"/>
      <c r="AG301" s="34"/>
      <c r="AH301" s="34"/>
      <c r="AI301" s="35"/>
      <c r="AJ301" s="35"/>
      <c r="AK301" s="35"/>
      <c r="AL301" s="35"/>
      <c r="AM301" s="76"/>
      <c r="AN301" s="304"/>
      <c r="AO301" s="239"/>
      <c r="AP301" s="166">
        <v>26</v>
      </c>
      <c r="AQ301" s="167">
        <v>158</v>
      </c>
      <c r="AR301" s="168" t="s">
        <v>873</v>
      </c>
      <c r="AS301" s="169" t="s">
        <v>33</v>
      </c>
      <c r="AT301" s="156"/>
    </row>
    <row r="302" spans="1:50" ht="42" x14ac:dyDescent="0.2">
      <c r="A302" s="23" t="s">
        <v>1412</v>
      </c>
      <c r="B302" s="24" t="s">
        <v>1413</v>
      </c>
      <c r="C302" s="90">
        <f>2.904-0.703</f>
        <v>2.2010000000000001</v>
      </c>
      <c r="D302" s="422">
        <f t="shared" si="17"/>
        <v>2.2010000000000001</v>
      </c>
      <c r="E302" s="422">
        <f t="shared" si="18"/>
        <v>0</v>
      </c>
      <c r="F302" s="25" t="s">
        <v>848</v>
      </c>
      <c r="G302" s="38" t="s">
        <v>1414</v>
      </c>
      <c r="H302" s="188"/>
      <c r="I302" s="326" t="s">
        <v>1415</v>
      </c>
      <c r="J302" s="250">
        <v>2.2010000000000001</v>
      </c>
      <c r="K302" s="29" t="s">
        <v>1413</v>
      </c>
      <c r="L302" s="30"/>
      <c r="M302" s="30"/>
      <c r="N302" s="31"/>
      <c r="O302" s="31"/>
      <c r="P302" s="31"/>
      <c r="Q302" s="31"/>
      <c r="R302" s="30"/>
      <c r="S302" s="30"/>
      <c r="T302" s="29"/>
      <c r="U302" s="29"/>
      <c r="V302" s="28"/>
      <c r="W302" s="29"/>
      <c r="X302" s="149">
        <v>2.2010000000000001</v>
      </c>
      <c r="Y302" s="249" t="s">
        <v>1788</v>
      </c>
      <c r="Z302" s="299"/>
      <c r="AA302" s="32"/>
      <c r="AB302" s="32"/>
      <c r="AC302" s="35"/>
      <c r="AD302" s="32"/>
      <c r="AE302" s="34"/>
      <c r="AF302" s="34"/>
      <c r="AG302" s="34"/>
      <c r="AH302" s="34"/>
      <c r="AI302" s="35"/>
      <c r="AJ302" s="35"/>
      <c r="AK302" s="35"/>
      <c r="AL302" s="35"/>
      <c r="AM302" s="76"/>
      <c r="AN302" s="304"/>
      <c r="AO302" s="239"/>
      <c r="AP302" s="166"/>
      <c r="AQ302" s="167">
        <v>28</v>
      </c>
      <c r="AR302" s="168" t="s">
        <v>1</v>
      </c>
      <c r="AS302" s="169" t="s">
        <v>1</v>
      </c>
      <c r="AT302" s="156"/>
    </row>
    <row r="303" spans="1:50" ht="31.5" x14ac:dyDescent="0.2">
      <c r="A303" s="23" t="s">
        <v>1416</v>
      </c>
      <c r="B303" s="24" t="s">
        <v>1417</v>
      </c>
      <c r="C303" s="90">
        <f>86.719-0.44</f>
        <v>86.278999999999996</v>
      </c>
      <c r="D303" s="422">
        <f t="shared" si="17"/>
        <v>86.278999999999996</v>
      </c>
      <c r="E303" s="422">
        <f t="shared" si="18"/>
        <v>0</v>
      </c>
      <c r="F303" s="25" t="s">
        <v>1198</v>
      </c>
      <c r="G303" s="38" t="s">
        <v>1418</v>
      </c>
      <c r="H303" s="188"/>
      <c r="I303" s="326"/>
      <c r="J303" s="252">
        <v>86.278999999999996</v>
      </c>
      <c r="K303" s="29" t="s">
        <v>1419</v>
      </c>
      <c r="L303" s="30">
        <f>17.23+(86.5-36.2)</f>
        <v>67.53</v>
      </c>
      <c r="M303" s="30" t="s">
        <v>1420</v>
      </c>
      <c r="N303" s="31">
        <f>56+151</f>
        <v>207</v>
      </c>
      <c r="O303" s="31">
        <v>0</v>
      </c>
      <c r="P303" s="31">
        <v>9</v>
      </c>
      <c r="Q303" s="31">
        <v>9</v>
      </c>
      <c r="R303" s="30">
        <v>0</v>
      </c>
      <c r="S303" s="30"/>
      <c r="T303" s="41"/>
      <c r="U303" s="41"/>
      <c r="V303" s="30">
        <v>35.408000000000001</v>
      </c>
      <c r="W303" s="30" t="s">
        <v>1831</v>
      </c>
      <c r="X303" s="150">
        <v>50.871000000000002</v>
      </c>
      <c r="Y303" s="561" t="s">
        <v>1832</v>
      </c>
      <c r="Z303" s="299"/>
      <c r="AA303" s="32"/>
      <c r="AB303" s="32"/>
      <c r="AC303" s="35"/>
      <c r="AD303" s="32"/>
      <c r="AE303" s="34"/>
      <c r="AF303" s="34"/>
      <c r="AG303" s="34"/>
      <c r="AH303" s="34"/>
      <c r="AI303" s="35"/>
      <c r="AJ303" s="35"/>
      <c r="AK303" s="35"/>
      <c r="AL303" s="35"/>
      <c r="AM303" s="76"/>
      <c r="AN303" s="304"/>
      <c r="AO303" s="239"/>
      <c r="AP303" s="166">
        <v>213</v>
      </c>
      <c r="AQ303" s="170">
        <v>524</v>
      </c>
      <c r="AR303" s="168" t="s">
        <v>1</v>
      </c>
      <c r="AS303" s="169" t="s">
        <v>1</v>
      </c>
    </row>
    <row r="304" spans="1:50" ht="31.5" x14ac:dyDescent="0.2">
      <c r="A304" s="23" t="s">
        <v>1421</v>
      </c>
      <c r="B304" s="24" t="s">
        <v>1422</v>
      </c>
      <c r="C304" s="90">
        <f>100.855-62.545</f>
        <v>38.31</v>
      </c>
      <c r="D304" s="422">
        <f t="shared" si="17"/>
        <v>38.31</v>
      </c>
      <c r="E304" s="422">
        <f t="shared" si="18"/>
        <v>0</v>
      </c>
      <c r="F304" s="25" t="s">
        <v>811</v>
      </c>
      <c r="G304" s="26" t="s">
        <v>1423</v>
      </c>
      <c r="H304" s="188"/>
      <c r="I304" s="327" t="s">
        <v>1422</v>
      </c>
      <c r="J304" s="250">
        <v>38.31</v>
      </c>
      <c r="K304" s="29" t="s">
        <v>1424</v>
      </c>
      <c r="L304" s="30"/>
      <c r="M304" s="30"/>
      <c r="N304" s="31"/>
      <c r="O304" s="31"/>
      <c r="P304" s="31"/>
      <c r="Q304" s="489"/>
      <c r="R304" s="29"/>
      <c r="S304" s="485"/>
      <c r="T304" s="551"/>
      <c r="U304" s="208"/>
      <c r="V304" s="28">
        <v>38.31</v>
      </c>
      <c r="W304" s="29" t="s">
        <v>1424</v>
      </c>
      <c r="X304" s="263"/>
      <c r="Y304" s="264"/>
      <c r="Z304" s="299"/>
      <c r="AA304" s="32"/>
      <c r="AB304" s="32"/>
      <c r="AC304" s="35"/>
      <c r="AD304" s="32"/>
      <c r="AE304" s="34"/>
      <c r="AF304" s="34"/>
      <c r="AG304" s="34"/>
      <c r="AH304" s="34"/>
      <c r="AI304" s="35"/>
      <c r="AJ304" s="35"/>
      <c r="AK304" s="214"/>
      <c r="AL304" s="214"/>
      <c r="AM304" s="311"/>
      <c r="AN304" s="312"/>
      <c r="AO304" s="239"/>
      <c r="AP304" s="174"/>
      <c r="AQ304" s="167">
        <v>185</v>
      </c>
      <c r="AR304" s="168" t="s">
        <v>1</v>
      </c>
      <c r="AS304" s="169" t="s">
        <v>1</v>
      </c>
    </row>
    <row r="305" spans="1:50" ht="42" x14ac:dyDescent="0.2">
      <c r="A305" s="23" t="s">
        <v>1425</v>
      </c>
      <c r="B305" s="24" t="s">
        <v>1426</v>
      </c>
      <c r="C305" s="90">
        <f>34.054-0.021</f>
        <v>34.033000000000001</v>
      </c>
      <c r="D305" s="422">
        <f t="shared" si="17"/>
        <v>34.033000000000001</v>
      </c>
      <c r="E305" s="422">
        <f t="shared" si="18"/>
        <v>0</v>
      </c>
      <c r="F305" s="25" t="s">
        <v>811</v>
      </c>
      <c r="G305" s="26" t="s">
        <v>1427</v>
      </c>
      <c r="H305" s="188"/>
      <c r="I305" s="326"/>
      <c r="J305" s="252">
        <v>13.379</v>
      </c>
      <c r="K305" s="29" t="s">
        <v>1820</v>
      </c>
      <c r="L305" s="30"/>
      <c r="M305" s="30"/>
      <c r="N305" s="31"/>
      <c r="O305" s="31"/>
      <c r="P305" s="31"/>
      <c r="Q305" s="489"/>
      <c r="R305" s="29">
        <v>13.4</v>
      </c>
      <c r="S305" s="489" t="s">
        <v>1821</v>
      </c>
      <c r="T305" s="551">
        <v>1.1000000000000001</v>
      </c>
      <c r="U305" s="521" t="s">
        <v>1822</v>
      </c>
      <c r="V305" s="29">
        <v>13.379</v>
      </c>
      <c r="W305" s="29" t="s">
        <v>1820</v>
      </c>
      <c r="X305" s="263"/>
      <c r="Y305" s="264"/>
      <c r="Z305" s="301">
        <v>20.654</v>
      </c>
      <c r="AA305" s="53" t="s">
        <v>1428</v>
      </c>
      <c r="AB305" s="53"/>
      <c r="AC305" s="56"/>
      <c r="AD305" s="53"/>
      <c r="AE305" s="55"/>
      <c r="AF305" s="55"/>
      <c r="AG305" s="55"/>
      <c r="AH305" s="55"/>
      <c r="AI305" s="53">
        <v>14.2</v>
      </c>
      <c r="AJ305" s="53" t="s">
        <v>1736</v>
      </c>
      <c r="AK305" s="476">
        <v>3.5</v>
      </c>
      <c r="AL305" s="79" t="s">
        <v>1824</v>
      </c>
      <c r="AM305" s="301">
        <v>20.654</v>
      </c>
      <c r="AN305" s="53" t="s">
        <v>1428</v>
      </c>
      <c r="AO305" s="239"/>
      <c r="AP305" s="166"/>
      <c r="AQ305" s="167">
        <v>0</v>
      </c>
      <c r="AR305" s="168" t="s">
        <v>60</v>
      </c>
      <c r="AS305" s="169" t="s">
        <v>51</v>
      </c>
    </row>
    <row r="306" spans="1:50" ht="42" x14ac:dyDescent="0.2">
      <c r="A306" s="23" t="s">
        <v>1429</v>
      </c>
      <c r="B306" s="24" t="s">
        <v>1430</v>
      </c>
      <c r="C306" s="90">
        <f>2.765-0.242</f>
        <v>2.5230000000000001</v>
      </c>
      <c r="D306" s="422">
        <f t="shared" si="17"/>
        <v>2.5230000000000001</v>
      </c>
      <c r="E306" s="422">
        <f t="shared" si="18"/>
        <v>0</v>
      </c>
      <c r="F306" s="25" t="s">
        <v>811</v>
      </c>
      <c r="G306" s="26" t="s">
        <v>1431</v>
      </c>
      <c r="H306" s="188"/>
      <c r="I306" s="326"/>
      <c r="J306" s="252">
        <v>0.58499999999999996</v>
      </c>
      <c r="K306" s="29" t="s">
        <v>1432</v>
      </c>
      <c r="L306" s="29"/>
      <c r="M306" s="30"/>
      <c r="N306" s="68"/>
      <c r="O306" s="68"/>
      <c r="P306" s="68"/>
      <c r="Q306" s="496"/>
      <c r="R306" s="29">
        <v>0.58499999999999996</v>
      </c>
      <c r="S306" s="484" t="s">
        <v>1432</v>
      </c>
      <c r="T306" s="551"/>
      <c r="U306" s="521"/>
      <c r="V306" s="29">
        <v>0.58499999999999996</v>
      </c>
      <c r="W306" s="29" t="s">
        <v>1432</v>
      </c>
      <c r="X306" s="263"/>
      <c r="Y306" s="264"/>
      <c r="Z306" s="308">
        <v>1.9380000000000002</v>
      </c>
      <c r="AA306" s="124" t="s">
        <v>1433</v>
      </c>
      <c r="AB306" s="124"/>
      <c r="AC306" s="126"/>
      <c r="AD306" s="53"/>
      <c r="AE306" s="125"/>
      <c r="AF306" s="125"/>
      <c r="AG306" s="125"/>
      <c r="AH306" s="125"/>
      <c r="AI306" s="53">
        <v>1.9380000000000002</v>
      </c>
      <c r="AJ306" s="53" t="s">
        <v>1433</v>
      </c>
      <c r="AK306" s="104">
        <v>2.2000000000000002</v>
      </c>
      <c r="AL306" s="104" t="s">
        <v>1773</v>
      </c>
      <c r="AM306" s="311"/>
      <c r="AN306" s="312"/>
      <c r="AO306" s="239"/>
      <c r="AP306" s="166"/>
      <c r="AQ306" s="167">
        <v>0</v>
      </c>
      <c r="AR306" s="168" t="s">
        <v>60</v>
      </c>
      <c r="AS306" s="169" t="s">
        <v>51</v>
      </c>
    </row>
    <row r="307" spans="1:50" ht="21" x14ac:dyDescent="0.2">
      <c r="A307" s="23" t="s">
        <v>1434</v>
      </c>
      <c r="B307" s="24" t="s">
        <v>1435</v>
      </c>
      <c r="C307" s="90">
        <f>14.337-0.03</f>
        <v>14.307</v>
      </c>
      <c r="D307" s="422">
        <f t="shared" si="17"/>
        <v>14.307</v>
      </c>
      <c r="E307" s="422">
        <f t="shared" si="18"/>
        <v>0</v>
      </c>
      <c r="F307" s="25" t="s">
        <v>848</v>
      </c>
      <c r="G307" s="38" t="s">
        <v>1436</v>
      </c>
      <c r="H307" s="188"/>
      <c r="I307" s="326"/>
      <c r="J307" s="252">
        <v>14.307</v>
      </c>
      <c r="K307" s="29" t="s">
        <v>1437</v>
      </c>
      <c r="L307" s="30"/>
      <c r="M307" s="30"/>
      <c r="N307" s="31"/>
      <c r="O307" s="31"/>
      <c r="P307" s="31"/>
      <c r="Q307" s="31"/>
      <c r="R307" s="30"/>
      <c r="S307" s="30"/>
      <c r="T307" s="30"/>
      <c r="U307" s="30"/>
      <c r="V307" s="29"/>
      <c r="W307" s="29"/>
      <c r="X307" s="150">
        <v>14.307</v>
      </c>
      <c r="Y307" s="249" t="s">
        <v>1437</v>
      </c>
      <c r="Z307" s="299"/>
      <c r="AA307" s="32"/>
      <c r="AB307" s="415"/>
      <c r="AC307" s="416"/>
      <c r="AD307" s="416"/>
      <c r="AE307" s="417"/>
      <c r="AF307" s="417"/>
      <c r="AG307" s="417"/>
      <c r="AH307" s="417"/>
      <c r="AI307" s="416"/>
      <c r="AJ307" s="416"/>
      <c r="AK307" s="416"/>
      <c r="AL307" s="416"/>
      <c r="AM307" s="76"/>
      <c r="AN307" s="304"/>
      <c r="AO307" s="239"/>
      <c r="AP307" s="166"/>
      <c r="AQ307" s="167">
        <v>97</v>
      </c>
      <c r="AR307" s="168" t="s">
        <v>1</v>
      </c>
      <c r="AS307" s="169" t="s">
        <v>1</v>
      </c>
      <c r="AT307" s="156"/>
    </row>
    <row r="308" spans="1:50" ht="31.5" x14ac:dyDescent="0.2">
      <c r="A308" s="23" t="s">
        <v>1438</v>
      </c>
      <c r="B308" s="24" t="s">
        <v>1439</v>
      </c>
      <c r="C308" s="90">
        <f>17.3-0.418</f>
        <v>16.882000000000001</v>
      </c>
      <c r="D308" s="422">
        <f t="shared" si="17"/>
        <v>16.882000000000001</v>
      </c>
      <c r="E308" s="422">
        <f t="shared" si="18"/>
        <v>0</v>
      </c>
      <c r="F308" s="25" t="s">
        <v>848</v>
      </c>
      <c r="G308" s="38" t="s">
        <v>1440</v>
      </c>
      <c r="H308" s="188"/>
      <c r="I308" s="326"/>
      <c r="J308" s="250">
        <v>16.882000000000001</v>
      </c>
      <c r="K308" s="29" t="s">
        <v>1441</v>
      </c>
      <c r="L308" s="30"/>
      <c r="M308" s="30"/>
      <c r="N308" s="31"/>
      <c r="O308" s="31"/>
      <c r="P308" s="31"/>
      <c r="Q308" s="31"/>
      <c r="R308" s="30"/>
      <c r="S308" s="30"/>
      <c r="T308" s="30"/>
      <c r="U308" s="30"/>
      <c r="V308" s="28"/>
      <c r="W308" s="29"/>
      <c r="X308" s="149">
        <v>16.882000000000001</v>
      </c>
      <c r="Y308" s="249" t="s">
        <v>1441</v>
      </c>
      <c r="Z308" s="299"/>
      <c r="AA308" s="32"/>
      <c r="AB308" s="32"/>
      <c r="AC308" s="35"/>
      <c r="AD308" s="32"/>
      <c r="AE308" s="34"/>
      <c r="AF308" s="34"/>
      <c r="AG308" s="34"/>
      <c r="AH308" s="34"/>
      <c r="AI308" s="35"/>
      <c r="AJ308" s="35"/>
      <c r="AK308" s="35"/>
      <c r="AL308" s="35"/>
      <c r="AM308" s="76"/>
      <c r="AN308" s="304"/>
      <c r="AO308" s="239"/>
      <c r="AP308" s="166"/>
      <c r="AQ308" s="167">
        <v>94</v>
      </c>
      <c r="AR308" s="168" t="s">
        <v>1</v>
      </c>
      <c r="AS308" s="169" t="s">
        <v>1</v>
      </c>
      <c r="AT308" s="156"/>
    </row>
    <row r="309" spans="1:50" ht="52.5" x14ac:dyDescent="0.2">
      <c r="A309" s="23" t="s">
        <v>1442</v>
      </c>
      <c r="B309" s="24" t="s">
        <v>1443</v>
      </c>
      <c r="C309" s="90">
        <f>20.641-0.177</f>
        <v>20.463999999999999</v>
      </c>
      <c r="D309" s="422">
        <f t="shared" si="17"/>
        <v>20.463999999999999</v>
      </c>
      <c r="E309" s="422">
        <f t="shared" si="18"/>
        <v>0</v>
      </c>
      <c r="F309" s="25" t="s">
        <v>848</v>
      </c>
      <c r="G309" s="38" t="s">
        <v>1444</v>
      </c>
      <c r="H309" s="188"/>
      <c r="I309" s="326"/>
      <c r="J309" s="250">
        <v>20.463999999999999</v>
      </c>
      <c r="K309" s="29" t="s">
        <v>1445</v>
      </c>
      <c r="L309" s="30"/>
      <c r="M309" s="30"/>
      <c r="N309" s="31"/>
      <c r="O309" s="31"/>
      <c r="P309" s="31"/>
      <c r="Q309" s="31"/>
      <c r="R309" s="30"/>
      <c r="S309" s="30"/>
      <c r="T309" s="30"/>
      <c r="U309" s="30"/>
      <c r="V309" s="28"/>
      <c r="W309" s="29"/>
      <c r="X309" s="149">
        <v>20.463999999999999</v>
      </c>
      <c r="Y309" s="249" t="s">
        <v>1445</v>
      </c>
      <c r="Z309" s="299"/>
      <c r="AA309" s="32"/>
      <c r="AB309" s="32"/>
      <c r="AC309" s="35"/>
      <c r="AD309" s="32"/>
      <c r="AE309" s="34"/>
      <c r="AF309" s="34"/>
      <c r="AG309" s="34"/>
      <c r="AH309" s="34"/>
      <c r="AI309" s="35"/>
      <c r="AJ309" s="35"/>
      <c r="AK309" s="35"/>
      <c r="AL309" s="35"/>
      <c r="AM309" s="76"/>
      <c r="AN309" s="304"/>
      <c r="AO309" s="239"/>
      <c r="AP309" s="166"/>
      <c r="AQ309" s="167">
        <v>137</v>
      </c>
      <c r="AR309" s="168" t="s">
        <v>1</v>
      </c>
      <c r="AS309" s="169" t="s">
        <v>1</v>
      </c>
      <c r="AT309" s="156"/>
    </row>
    <row r="310" spans="1:50" ht="42" x14ac:dyDescent="0.2">
      <c r="A310" s="23" t="s">
        <v>1446</v>
      </c>
      <c r="B310" s="24" t="s">
        <v>1447</v>
      </c>
      <c r="C310" s="90">
        <f>290.395-262.416</f>
        <v>27.978999999999985</v>
      </c>
      <c r="D310" s="422">
        <f t="shared" si="17"/>
        <v>27.978999999999999</v>
      </c>
      <c r="E310" s="422">
        <f t="shared" si="18"/>
        <v>0</v>
      </c>
      <c r="F310" s="25" t="s">
        <v>848</v>
      </c>
      <c r="G310" s="11"/>
      <c r="H310" s="188" t="s">
        <v>1448</v>
      </c>
      <c r="I310" s="326" t="s">
        <v>1447</v>
      </c>
      <c r="J310" s="257"/>
      <c r="K310" s="27"/>
      <c r="L310" s="80"/>
      <c r="M310" s="80"/>
      <c r="N310" s="81"/>
      <c r="O310" s="81"/>
      <c r="P310" s="81"/>
      <c r="Q310" s="81"/>
      <c r="R310" s="80"/>
      <c r="S310" s="80"/>
      <c r="T310" s="80"/>
      <c r="U310" s="80"/>
      <c r="V310" s="27"/>
      <c r="W310" s="27"/>
      <c r="X310" s="361"/>
      <c r="Y310" s="419"/>
      <c r="Z310" s="308">
        <v>27.978999999999999</v>
      </c>
      <c r="AA310" s="71" t="s">
        <v>1449</v>
      </c>
      <c r="AB310" s="248">
        <v>27.978999999999999</v>
      </c>
      <c r="AC310" s="101">
        <v>0</v>
      </c>
      <c r="AD310" s="248">
        <v>0</v>
      </c>
      <c r="AE310" s="317">
        <v>0</v>
      </c>
      <c r="AF310" s="317">
        <v>0</v>
      </c>
      <c r="AG310" s="317">
        <v>0</v>
      </c>
      <c r="AH310" s="317">
        <v>0</v>
      </c>
      <c r="AI310" s="101">
        <v>0</v>
      </c>
      <c r="AJ310" s="53">
        <v>0</v>
      </c>
      <c r="AK310" s="101"/>
      <c r="AL310" s="101"/>
      <c r="AM310" s="71">
        <v>27.978999999999999</v>
      </c>
      <c r="AN310" s="204" t="s">
        <v>1449</v>
      </c>
      <c r="AO310" s="239" t="s">
        <v>1450</v>
      </c>
      <c r="AP310" s="166"/>
      <c r="AQ310" s="167">
        <v>0</v>
      </c>
      <c r="AR310" s="168" t="s">
        <v>60</v>
      </c>
      <c r="AS310" s="169" t="s">
        <v>51</v>
      </c>
      <c r="AT310" s="156">
        <v>289.41300000000001</v>
      </c>
      <c r="AU310" s="156">
        <v>290.40499999999997</v>
      </c>
      <c r="AV310" s="156">
        <f t="shared" ref="AV310:AV311" si="24">AU310-AT310</f>
        <v>0.9919999999999618</v>
      </c>
      <c r="AW310" s="156">
        <v>14</v>
      </c>
      <c r="AX310" s="156">
        <v>14</v>
      </c>
    </row>
    <row r="311" spans="1:50" ht="52.5" x14ac:dyDescent="0.2">
      <c r="A311" s="23" t="s">
        <v>1451</v>
      </c>
      <c r="B311" s="24" t="s">
        <v>1452</v>
      </c>
      <c r="C311" s="90">
        <f>115.526-86.719</f>
        <v>28.807000000000002</v>
      </c>
      <c r="D311" s="422">
        <f t="shared" si="17"/>
        <v>28.806999999999999</v>
      </c>
      <c r="E311" s="422">
        <f t="shared" si="18"/>
        <v>0</v>
      </c>
      <c r="F311" s="25" t="s">
        <v>848</v>
      </c>
      <c r="G311" s="11"/>
      <c r="H311" s="188" t="s">
        <v>1453</v>
      </c>
      <c r="I311" s="326"/>
      <c r="J311" s="257"/>
      <c r="K311" s="27"/>
      <c r="L311" s="80"/>
      <c r="M311" s="80"/>
      <c r="N311" s="81"/>
      <c r="O311" s="81"/>
      <c r="P311" s="81"/>
      <c r="Q311" s="81"/>
      <c r="R311" s="80"/>
      <c r="S311" s="80"/>
      <c r="T311" s="80"/>
      <c r="U311" s="80"/>
      <c r="V311" s="27"/>
      <c r="W311" s="27"/>
      <c r="X311" s="361"/>
      <c r="Y311" s="419"/>
      <c r="Z311" s="308">
        <v>28.806999999999999</v>
      </c>
      <c r="AA311" s="71" t="s">
        <v>1454</v>
      </c>
      <c r="AB311" s="248"/>
      <c r="AC311" s="317">
        <f>115.42-100.9</f>
        <v>14.519999999999996</v>
      </c>
      <c r="AD311" s="248" t="s">
        <v>1455</v>
      </c>
      <c r="AE311" s="317">
        <v>30</v>
      </c>
      <c r="AF311" s="317">
        <v>0</v>
      </c>
      <c r="AG311" s="317">
        <v>30</v>
      </c>
      <c r="AH311" s="317">
        <v>0</v>
      </c>
      <c r="AI311" s="101">
        <f>100.9-86.719</f>
        <v>14.181000000000012</v>
      </c>
      <c r="AJ311" s="53" t="s">
        <v>1456</v>
      </c>
      <c r="AK311" s="101"/>
      <c r="AL311" s="101"/>
      <c r="AM311" s="71">
        <v>28.806999999999999</v>
      </c>
      <c r="AN311" s="204" t="s">
        <v>1454</v>
      </c>
      <c r="AO311" s="239" t="s">
        <v>1457</v>
      </c>
      <c r="AP311" s="166">
        <v>0</v>
      </c>
      <c r="AQ311" s="167">
        <v>0</v>
      </c>
      <c r="AR311" s="168" t="s">
        <v>60</v>
      </c>
      <c r="AS311" s="169" t="s">
        <v>51</v>
      </c>
      <c r="AT311" s="156">
        <v>86.718999999999994</v>
      </c>
      <c r="AU311" s="156">
        <v>87.89</v>
      </c>
      <c r="AV311" s="156">
        <f t="shared" si="24"/>
        <v>1.1710000000000065</v>
      </c>
      <c r="AW311" s="156">
        <v>13</v>
      </c>
      <c r="AX311" s="156">
        <v>13</v>
      </c>
    </row>
    <row r="312" spans="1:50" ht="31.5" x14ac:dyDescent="0.2">
      <c r="A312" s="23" t="s">
        <v>1458</v>
      </c>
      <c r="B312" s="24" t="s">
        <v>1776</v>
      </c>
      <c r="C312" s="90">
        <v>25.693999999999999</v>
      </c>
      <c r="D312" s="422">
        <f t="shared" si="17"/>
        <v>25.693999999999999</v>
      </c>
      <c r="E312" s="422">
        <f t="shared" si="18"/>
        <v>0</v>
      </c>
      <c r="F312" s="25" t="s">
        <v>848</v>
      </c>
      <c r="G312" s="38" t="s">
        <v>1459</v>
      </c>
      <c r="H312" s="188"/>
      <c r="I312" s="326"/>
      <c r="J312" s="250">
        <v>25.693999999999999</v>
      </c>
      <c r="K312" s="29" t="s">
        <v>1460</v>
      </c>
      <c r="L312" s="30">
        <v>0</v>
      </c>
      <c r="M312" s="30">
        <v>0</v>
      </c>
      <c r="N312" s="31">
        <v>0</v>
      </c>
      <c r="O312" s="31">
        <v>0</v>
      </c>
      <c r="P312" s="31">
        <v>0</v>
      </c>
      <c r="Q312" s="31">
        <v>0</v>
      </c>
      <c r="R312" s="30">
        <v>25.693999999999999</v>
      </c>
      <c r="S312" s="30"/>
      <c r="T312" s="29"/>
      <c r="U312" s="29"/>
      <c r="V312" s="28"/>
      <c r="W312" s="29"/>
      <c r="X312" s="149">
        <v>25.693999999999999</v>
      </c>
      <c r="Y312" s="249" t="s">
        <v>1460</v>
      </c>
      <c r="Z312" s="299"/>
      <c r="AA312" s="32"/>
      <c r="AB312" s="32"/>
      <c r="AC312" s="35"/>
      <c r="AD312" s="32"/>
      <c r="AE312" s="34"/>
      <c r="AF312" s="34"/>
      <c r="AG312" s="34"/>
      <c r="AH312" s="34"/>
      <c r="AI312" s="35"/>
      <c r="AJ312" s="35"/>
      <c r="AK312" s="35"/>
      <c r="AL312" s="35"/>
      <c r="AM312" s="71"/>
      <c r="AN312" s="204"/>
      <c r="AO312" s="239"/>
      <c r="AP312" s="166">
        <v>66</v>
      </c>
      <c r="AQ312" s="167">
        <v>120</v>
      </c>
      <c r="AR312" s="168" t="s">
        <v>1</v>
      </c>
      <c r="AS312" s="169" t="s">
        <v>1</v>
      </c>
      <c r="AT312" s="156"/>
    </row>
    <row r="313" spans="1:50" ht="42" x14ac:dyDescent="0.2">
      <c r="A313" s="23" t="s">
        <v>1461</v>
      </c>
      <c r="B313" s="24" t="s">
        <v>1462</v>
      </c>
      <c r="C313" s="90">
        <f>8.25-0.764</f>
        <v>7.4859999999999998</v>
      </c>
      <c r="D313" s="422">
        <f t="shared" si="17"/>
        <v>7.4859999999999998</v>
      </c>
      <c r="E313" s="422">
        <f t="shared" si="18"/>
        <v>0</v>
      </c>
      <c r="F313" s="25" t="s">
        <v>848</v>
      </c>
      <c r="G313" s="38" t="s">
        <v>1463</v>
      </c>
      <c r="H313" s="188"/>
      <c r="I313" s="326"/>
      <c r="J313" s="250">
        <v>7.4859999999999998</v>
      </c>
      <c r="K313" s="29" t="s">
        <v>1464</v>
      </c>
      <c r="L313" s="30"/>
      <c r="M313" s="30"/>
      <c r="N313" s="31"/>
      <c r="O313" s="31"/>
      <c r="P313" s="31"/>
      <c r="Q313" s="31"/>
      <c r="R313" s="30"/>
      <c r="S313" s="30"/>
      <c r="T313" s="29"/>
      <c r="U313" s="29"/>
      <c r="V313" s="28"/>
      <c r="W313" s="29"/>
      <c r="X313" s="149">
        <v>7.4859999999999998</v>
      </c>
      <c r="Y313" s="249" t="s">
        <v>1464</v>
      </c>
      <c r="Z313" s="299"/>
      <c r="AA313" s="32"/>
      <c r="AB313" s="32"/>
      <c r="AC313" s="35"/>
      <c r="AD313" s="32"/>
      <c r="AE313" s="34"/>
      <c r="AF313" s="34"/>
      <c r="AG313" s="34"/>
      <c r="AH313" s="34"/>
      <c r="AI313" s="35"/>
      <c r="AJ313" s="35"/>
      <c r="AK313" s="35"/>
      <c r="AL313" s="35"/>
      <c r="AM313" s="71"/>
      <c r="AN313" s="204"/>
      <c r="AO313" s="239"/>
      <c r="AP313" s="166"/>
      <c r="AQ313" s="167">
        <v>39</v>
      </c>
      <c r="AR313" s="168" t="s">
        <v>1</v>
      </c>
      <c r="AS313" s="169" t="s">
        <v>1</v>
      </c>
      <c r="AT313" s="156"/>
    </row>
    <row r="314" spans="1:50" ht="52.5" x14ac:dyDescent="0.2">
      <c r="A314" s="23" t="s">
        <v>1465</v>
      </c>
      <c r="B314" s="24" t="s">
        <v>1466</v>
      </c>
      <c r="C314" s="90">
        <f>25.3-2.726</f>
        <v>22.574000000000002</v>
      </c>
      <c r="D314" s="422">
        <f t="shared" si="17"/>
        <v>22.574000000000002</v>
      </c>
      <c r="E314" s="422">
        <f t="shared" si="18"/>
        <v>0</v>
      </c>
      <c r="F314" s="25" t="s">
        <v>848</v>
      </c>
      <c r="G314" s="11"/>
      <c r="H314" s="188" t="s">
        <v>1467</v>
      </c>
      <c r="I314" s="326"/>
      <c r="J314" s="257"/>
      <c r="K314" s="27"/>
      <c r="L314" s="80"/>
      <c r="M314" s="80"/>
      <c r="N314" s="81"/>
      <c r="O314" s="81"/>
      <c r="P314" s="81"/>
      <c r="Q314" s="81"/>
      <c r="R314" s="80"/>
      <c r="S314" s="80"/>
      <c r="T314" s="80"/>
      <c r="U314" s="80"/>
      <c r="V314" s="27"/>
      <c r="W314" s="27"/>
      <c r="X314" s="361"/>
      <c r="Y314" s="419"/>
      <c r="Z314" s="308">
        <v>22.574000000000002</v>
      </c>
      <c r="AA314" s="71" t="s">
        <v>1468</v>
      </c>
      <c r="AB314" s="248">
        <v>0</v>
      </c>
      <c r="AC314" s="101">
        <f>24.8-2.726</f>
        <v>22.074000000000002</v>
      </c>
      <c r="AD314" s="248" t="s">
        <v>1469</v>
      </c>
      <c r="AE314" s="317">
        <v>46</v>
      </c>
      <c r="AF314" s="317">
        <v>0</v>
      </c>
      <c r="AG314" s="317">
        <v>40</v>
      </c>
      <c r="AH314" s="317">
        <v>0</v>
      </c>
      <c r="AI314" s="101">
        <f>25.3-24.8</f>
        <v>0.5</v>
      </c>
      <c r="AJ314" s="248" t="s">
        <v>1470</v>
      </c>
      <c r="AK314" s="101"/>
      <c r="AL314" s="101"/>
      <c r="AM314" s="71">
        <v>22.574000000000002</v>
      </c>
      <c r="AN314" s="204" t="s">
        <v>1468</v>
      </c>
      <c r="AO314" s="239"/>
      <c r="AP314" s="166">
        <v>0</v>
      </c>
      <c r="AQ314" s="167">
        <v>0</v>
      </c>
      <c r="AR314" s="168" t="s">
        <v>60</v>
      </c>
      <c r="AS314" s="169" t="s">
        <v>51</v>
      </c>
      <c r="AT314" s="156"/>
    </row>
    <row r="315" spans="1:50" ht="42" x14ac:dyDescent="0.2">
      <c r="A315" s="23" t="s">
        <v>1471</v>
      </c>
      <c r="B315" s="24" t="s">
        <v>1472</v>
      </c>
      <c r="C315" s="90">
        <f>28.084-21.313</f>
        <v>6.7710000000000008</v>
      </c>
      <c r="D315" s="422">
        <f t="shared" si="17"/>
        <v>7.4839999999999982</v>
      </c>
      <c r="E315" s="422">
        <f t="shared" si="18"/>
        <v>0.71299999999999741</v>
      </c>
      <c r="F315" s="25" t="s">
        <v>848</v>
      </c>
      <c r="G315" s="38" t="s">
        <v>1473</v>
      </c>
      <c r="H315" s="188"/>
      <c r="I315" s="326"/>
      <c r="J315" s="257"/>
      <c r="K315" s="27"/>
      <c r="L315" s="27"/>
      <c r="M315" s="27"/>
      <c r="N315" s="37"/>
      <c r="O315" s="37"/>
      <c r="P315" s="37"/>
      <c r="Q315" s="37"/>
      <c r="R315" s="27"/>
      <c r="S315" s="27"/>
      <c r="T315" s="27"/>
      <c r="U315" s="27"/>
      <c r="V315" s="27"/>
      <c r="W315" s="27"/>
      <c r="X315" s="361"/>
      <c r="Y315" s="419"/>
      <c r="Z315" s="308">
        <v>7.4839999999999982</v>
      </c>
      <c r="AA315" s="71" t="s">
        <v>1474</v>
      </c>
      <c r="AB315" s="71">
        <v>0</v>
      </c>
      <c r="AC315" s="79">
        <v>3.1</v>
      </c>
      <c r="AD315" s="248" t="s">
        <v>1475</v>
      </c>
      <c r="AE315" s="78">
        <v>6</v>
      </c>
      <c r="AF315" s="78">
        <v>0</v>
      </c>
      <c r="AG315" s="78">
        <v>0</v>
      </c>
      <c r="AH315" s="78">
        <v>0</v>
      </c>
      <c r="AI315" s="248">
        <f>22.7-20.6+28.084-26.4</f>
        <v>3.7839999999999989</v>
      </c>
      <c r="AJ315" s="248" t="s">
        <v>1476</v>
      </c>
      <c r="AK315" s="248"/>
      <c r="AL315" s="248"/>
      <c r="AM315" s="71">
        <v>7.4839999999999982</v>
      </c>
      <c r="AN315" s="204" t="s">
        <v>1474</v>
      </c>
      <c r="AO315" s="239"/>
      <c r="AP315" s="166">
        <v>0</v>
      </c>
      <c r="AQ315" s="167">
        <v>0</v>
      </c>
      <c r="AR315" s="168" t="s">
        <v>60</v>
      </c>
      <c r="AS315" s="169" t="s">
        <v>51</v>
      </c>
      <c r="AT315" s="156"/>
    </row>
    <row r="316" spans="1:50" ht="31.5" x14ac:dyDescent="0.2">
      <c r="A316" s="23" t="s">
        <v>1477</v>
      </c>
      <c r="B316" s="24" t="s">
        <v>1478</v>
      </c>
      <c r="C316" s="90">
        <f>15.029-0.184</f>
        <v>14.845000000000001</v>
      </c>
      <c r="D316" s="422">
        <f t="shared" si="17"/>
        <v>14.845000000000001</v>
      </c>
      <c r="E316" s="422">
        <f t="shared" si="18"/>
        <v>0</v>
      </c>
      <c r="F316" s="25" t="s">
        <v>848</v>
      </c>
      <c r="G316" s="38" t="s">
        <v>1479</v>
      </c>
      <c r="H316" s="188"/>
      <c r="I316" s="326"/>
      <c r="J316" s="252">
        <v>14.845000000000001</v>
      </c>
      <c r="K316" s="29" t="s">
        <v>1480</v>
      </c>
      <c r="L316" s="30">
        <v>0</v>
      </c>
      <c r="M316" s="30">
        <v>0</v>
      </c>
      <c r="N316" s="31">
        <v>0</v>
      </c>
      <c r="O316" s="31">
        <v>0</v>
      </c>
      <c r="P316" s="31">
        <v>0</v>
      </c>
      <c r="Q316" s="31">
        <v>0</v>
      </c>
      <c r="R316" s="30">
        <v>0</v>
      </c>
      <c r="S316" s="31">
        <v>0</v>
      </c>
      <c r="T316" s="29"/>
      <c r="U316" s="29"/>
      <c r="V316" s="29"/>
      <c r="W316" s="29"/>
      <c r="X316" s="150">
        <v>14.845000000000001</v>
      </c>
      <c r="Y316" s="249" t="s">
        <v>1480</v>
      </c>
      <c r="Z316" s="299"/>
      <c r="AA316" s="32"/>
      <c r="AB316" s="32"/>
      <c r="AC316" s="35"/>
      <c r="AD316" s="32"/>
      <c r="AE316" s="34"/>
      <c r="AF316" s="34"/>
      <c r="AG316" s="34"/>
      <c r="AH316" s="34"/>
      <c r="AI316" s="35"/>
      <c r="AJ316" s="35"/>
      <c r="AK316" s="35"/>
      <c r="AL316" s="35"/>
      <c r="AM316" s="76"/>
      <c r="AN316" s="304"/>
      <c r="AO316" s="239"/>
      <c r="AP316" s="166"/>
      <c r="AQ316" s="167"/>
      <c r="AR316" s="168" t="s">
        <v>60</v>
      </c>
      <c r="AS316" s="169" t="s">
        <v>51</v>
      </c>
    </row>
    <row r="317" spans="1:50" ht="42" x14ac:dyDescent="0.2">
      <c r="A317" s="23" t="s">
        <v>1481</v>
      </c>
      <c r="B317" s="24" t="s">
        <v>1482</v>
      </c>
      <c r="C317" s="90">
        <f>21.349-11.326</f>
        <v>10.023</v>
      </c>
      <c r="D317" s="422">
        <f t="shared" si="17"/>
        <v>9.2740000000000009</v>
      </c>
      <c r="E317" s="422">
        <f t="shared" si="18"/>
        <v>-0.74899999999999878</v>
      </c>
      <c r="F317" s="25" t="s">
        <v>848</v>
      </c>
      <c r="G317" s="38" t="s">
        <v>1483</v>
      </c>
      <c r="H317" s="188"/>
      <c r="I317" s="326"/>
      <c r="J317" s="252">
        <v>9.2740000000000009</v>
      </c>
      <c r="K317" s="29" t="s">
        <v>1484</v>
      </c>
      <c r="L317" s="30">
        <v>0</v>
      </c>
      <c r="M317" s="30">
        <v>0</v>
      </c>
      <c r="N317" s="31">
        <v>0</v>
      </c>
      <c r="O317" s="31">
        <v>0</v>
      </c>
      <c r="P317" s="31">
        <v>0</v>
      </c>
      <c r="Q317" s="31">
        <v>0</v>
      </c>
      <c r="R317" s="30">
        <v>0</v>
      </c>
      <c r="S317" s="31">
        <v>0</v>
      </c>
      <c r="T317" s="29"/>
      <c r="U317" s="29"/>
      <c r="V317" s="29"/>
      <c r="W317" s="29"/>
      <c r="X317" s="150">
        <v>9.2740000000000009</v>
      </c>
      <c r="Y317" s="249" t="s">
        <v>1484</v>
      </c>
      <c r="Z317" s="299"/>
      <c r="AA317" s="32"/>
      <c r="AB317" s="32"/>
      <c r="AC317" s="35"/>
      <c r="AD317" s="32"/>
      <c r="AE317" s="34"/>
      <c r="AF317" s="34"/>
      <c r="AG317" s="34"/>
      <c r="AH317" s="34"/>
      <c r="AI317" s="35"/>
      <c r="AJ317" s="35"/>
      <c r="AK317" s="35"/>
      <c r="AL317" s="35"/>
      <c r="AM317" s="76"/>
      <c r="AN317" s="304"/>
      <c r="AO317" s="239"/>
      <c r="AP317" s="166"/>
      <c r="AQ317" s="167"/>
      <c r="AR317" s="168" t="s">
        <v>60</v>
      </c>
      <c r="AS317" s="169" t="s">
        <v>51</v>
      </c>
    </row>
    <row r="318" spans="1:50" ht="21" x14ac:dyDescent="0.2">
      <c r="A318" s="23" t="s">
        <v>1485</v>
      </c>
      <c r="B318" s="24" t="s">
        <v>1486</v>
      </c>
      <c r="C318" s="90">
        <f>6.207-1.28</f>
        <v>4.9269999999999996</v>
      </c>
      <c r="D318" s="422">
        <f t="shared" si="17"/>
        <v>4.9269999999999996</v>
      </c>
      <c r="E318" s="422">
        <f t="shared" si="18"/>
        <v>0</v>
      </c>
      <c r="F318" s="25" t="s">
        <v>731</v>
      </c>
      <c r="G318" s="38" t="s">
        <v>1487</v>
      </c>
      <c r="H318" s="188"/>
      <c r="I318" s="326" t="s">
        <v>1486</v>
      </c>
      <c r="J318" s="257">
        <v>0</v>
      </c>
      <c r="K318" s="27"/>
      <c r="L318" s="49"/>
      <c r="M318" s="49"/>
      <c r="N318" s="50"/>
      <c r="O318" s="50"/>
      <c r="P318" s="50"/>
      <c r="Q318" s="50"/>
      <c r="R318" s="49"/>
      <c r="S318" s="49"/>
      <c r="T318" s="49"/>
      <c r="U318" s="49"/>
      <c r="V318" s="27"/>
      <c r="W318" s="27"/>
      <c r="X318" s="150">
        <v>0</v>
      </c>
      <c r="Y318" s="249"/>
      <c r="Z318" s="308">
        <v>4.9269999999999996</v>
      </c>
      <c r="AA318" s="71" t="s">
        <v>1488</v>
      </c>
      <c r="AB318" s="71">
        <v>0</v>
      </c>
      <c r="AC318" s="79"/>
      <c r="AD318" s="124"/>
      <c r="AE318" s="78"/>
      <c r="AF318" s="78"/>
      <c r="AG318" s="78"/>
      <c r="AH318" s="78"/>
      <c r="AI318" s="79">
        <f>6.207-1.28</f>
        <v>4.9269999999999996</v>
      </c>
      <c r="AJ318" s="79" t="s">
        <v>1488</v>
      </c>
      <c r="AK318" s="79">
        <f>6.207-1.28</f>
        <v>4.9269999999999996</v>
      </c>
      <c r="AL318" s="79" t="s">
        <v>1488</v>
      </c>
      <c r="AM318" s="71">
        <v>4.9269999999999996</v>
      </c>
      <c r="AN318" s="204" t="s">
        <v>1488</v>
      </c>
      <c r="AO318" s="239"/>
      <c r="AP318" s="166"/>
      <c r="AQ318" s="167"/>
      <c r="AR318" s="168" t="s">
        <v>60</v>
      </c>
      <c r="AS318" s="169" t="s">
        <v>51</v>
      </c>
    </row>
    <row r="319" spans="1:50" ht="115.5" x14ac:dyDescent="0.2">
      <c r="A319" s="23" t="s">
        <v>1489</v>
      </c>
      <c r="B319" s="24" t="s">
        <v>1490</v>
      </c>
      <c r="C319" s="90">
        <f>163.5-1.733</f>
        <v>161.767</v>
      </c>
      <c r="D319" s="422">
        <f t="shared" si="17"/>
        <v>161.767</v>
      </c>
      <c r="E319" s="422">
        <f t="shared" si="18"/>
        <v>0</v>
      </c>
      <c r="F319" s="25" t="s">
        <v>1365</v>
      </c>
      <c r="G319" s="38" t="s">
        <v>1491</v>
      </c>
      <c r="H319" s="188"/>
      <c r="I319" s="326" t="s">
        <v>1492</v>
      </c>
      <c r="J319" s="257">
        <v>0</v>
      </c>
      <c r="K319" s="129"/>
      <c r="L319" s="130"/>
      <c r="M319" s="130"/>
      <c r="N319" s="131"/>
      <c r="O319" s="131"/>
      <c r="P319" s="131"/>
      <c r="Q319" s="131"/>
      <c r="R319" s="130"/>
      <c r="S319" s="130"/>
      <c r="T319" s="130"/>
      <c r="U319" s="130"/>
      <c r="V319" s="27"/>
      <c r="W319" s="129"/>
      <c r="X319" s="150"/>
      <c r="Y319" s="272"/>
      <c r="Z319" s="301">
        <v>161.767</v>
      </c>
      <c r="AA319" s="53" t="s">
        <v>1493</v>
      </c>
      <c r="AB319" s="53">
        <v>86.53</v>
      </c>
      <c r="AC319" s="56">
        <v>38.6</v>
      </c>
      <c r="AD319" s="56" t="s">
        <v>1737</v>
      </c>
      <c r="AE319" s="55">
        <v>25</v>
      </c>
      <c r="AF319" s="55">
        <v>3</v>
      </c>
      <c r="AG319" s="55">
        <v>28</v>
      </c>
      <c r="AH319" s="55">
        <v>4</v>
      </c>
      <c r="AI319" s="56">
        <v>71.400000000000006</v>
      </c>
      <c r="AJ319" s="56" t="s">
        <v>1738</v>
      </c>
      <c r="AK319" s="56">
        <v>21.6</v>
      </c>
      <c r="AL319" s="56" t="s">
        <v>1771</v>
      </c>
      <c r="AM319" s="76">
        <v>161.767</v>
      </c>
      <c r="AN319" s="304" t="s">
        <v>1493</v>
      </c>
      <c r="AO319" s="239" t="s">
        <v>1494</v>
      </c>
      <c r="AP319" s="166">
        <v>26</v>
      </c>
      <c r="AQ319" s="170">
        <v>859</v>
      </c>
      <c r="AR319" s="168" t="s">
        <v>873</v>
      </c>
      <c r="AS319" s="169" t="s">
        <v>33</v>
      </c>
      <c r="AT319" s="155">
        <v>5.7080000000000002</v>
      </c>
      <c r="AU319" s="156">
        <v>7.0019999999999998</v>
      </c>
      <c r="AV319" s="156">
        <f t="shared" ref="AV319" si="25">AU319-AT319</f>
        <v>1.2939999999999996</v>
      </c>
      <c r="AW319" s="156">
        <v>7</v>
      </c>
    </row>
    <row r="320" spans="1:50" ht="21" x14ac:dyDescent="0.2">
      <c r="A320" s="23" t="s">
        <v>1495</v>
      </c>
      <c r="B320" s="24" t="s">
        <v>1496</v>
      </c>
      <c r="C320" s="90">
        <f>2.468-0.728</f>
        <v>1.74</v>
      </c>
      <c r="D320" s="422">
        <f t="shared" si="17"/>
        <v>1.74</v>
      </c>
      <c r="E320" s="422">
        <f t="shared" si="18"/>
        <v>0</v>
      </c>
      <c r="F320" s="25" t="s">
        <v>731</v>
      </c>
      <c r="G320" s="11"/>
      <c r="H320" s="188" t="s">
        <v>1497</v>
      </c>
      <c r="I320" s="326" t="s">
        <v>1496</v>
      </c>
      <c r="J320" s="257">
        <v>0</v>
      </c>
      <c r="K320" s="27"/>
      <c r="L320" s="91"/>
      <c r="M320" s="91"/>
      <c r="N320" s="92"/>
      <c r="O320" s="92"/>
      <c r="P320" s="92"/>
      <c r="Q320" s="92"/>
      <c r="R320" s="91"/>
      <c r="S320" s="91"/>
      <c r="T320" s="91"/>
      <c r="U320" s="91"/>
      <c r="V320" s="27"/>
      <c r="W320" s="27"/>
      <c r="X320" s="150">
        <v>0</v>
      </c>
      <c r="Y320" s="249"/>
      <c r="Z320" s="302">
        <v>1.74</v>
      </c>
      <c r="AA320" s="71" t="s">
        <v>1498</v>
      </c>
      <c r="AB320" s="248">
        <v>0</v>
      </c>
      <c r="AC320" s="317"/>
      <c r="AD320" s="248"/>
      <c r="AE320" s="317"/>
      <c r="AF320" s="317"/>
      <c r="AG320" s="317"/>
      <c r="AH320" s="317"/>
      <c r="AI320" s="101">
        <f>2.468-0.728</f>
        <v>1.74</v>
      </c>
      <c r="AJ320" s="317" t="s">
        <v>1498</v>
      </c>
      <c r="AK320" s="101">
        <f>2.468-0.728</f>
        <v>1.74</v>
      </c>
      <c r="AL320" s="317" t="s">
        <v>1498</v>
      </c>
      <c r="AM320" s="59">
        <v>1.74</v>
      </c>
      <c r="AN320" s="204" t="s">
        <v>1498</v>
      </c>
      <c r="AO320" s="239" t="s">
        <v>1499</v>
      </c>
      <c r="AP320" s="166"/>
      <c r="AQ320" s="167">
        <v>0</v>
      </c>
      <c r="AR320" s="168" t="s">
        <v>60</v>
      </c>
      <c r="AS320" s="169" t="s">
        <v>51</v>
      </c>
    </row>
    <row r="321" spans="1:50" ht="31.5" x14ac:dyDescent="0.2">
      <c r="A321" s="23" t="s">
        <v>1500</v>
      </c>
      <c r="B321" s="39" t="s">
        <v>1501</v>
      </c>
      <c r="C321" s="26">
        <f>80.229-78.128+0.853</f>
        <v>2.9539999999999988</v>
      </c>
      <c r="D321" s="422">
        <f t="shared" si="17"/>
        <v>2.9539999999999988</v>
      </c>
      <c r="E321" s="422">
        <f t="shared" si="18"/>
        <v>0</v>
      </c>
      <c r="F321" s="25" t="s">
        <v>731</v>
      </c>
      <c r="G321" s="38" t="s">
        <v>1502</v>
      </c>
      <c r="H321" s="188"/>
      <c r="I321" s="326"/>
      <c r="J321" s="257">
        <v>0</v>
      </c>
      <c r="K321" s="27"/>
      <c r="L321" s="49"/>
      <c r="M321" s="49"/>
      <c r="N321" s="50"/>
      <c r="O321" s="50"/>
      <c r="P321" s="50"/>
      <c r="Q321" s="50"/>
      <c r="R321" s="49"/>
      <c r="S321" s="49"/>
      <c r="T321" s="49"/>
      <c r="U321" s="49"/>
      <c r="V321" s="27"/>
      <c r="W321" s="27"/>
      <c r="X321" s="150">
        <v>0</v>
      </c>
      <c r="Y321" s="249"/>
      <c r="Z321" s="308">
        <v>2.9539999999999988</v>
      </c>
      <c r="AA321" s="72" t="s">
        <v>1503</v>
      </c>
      <c r="AB321" s="72">
        <v>0</v>
      </c>
      <c r="AC321" s="74"/>
      <c r="AD321" s="72"/>
      <c r="AE321" s="73"/>
      <c r="AF321" s="73"/>
      <c r="AG321" s="73"/>
      <c r="AH321" s="73"/>
      <c r="AI321" s="74">
        <f>80.229-78.128+0.853</f>
        <v>2.9539999999999988</v>
      </c>
      <c r="AJ321" s="74" t="s">
        <v>1503</v>
      </c>
      <c r="AK321" s="344"/>
      <c r="AL321" s="344"/>
      <c r="AM321" s="345">
        <v>2.9539999999999988</v>
      </c>
      <c r="AN321" s="346" t="s">
        <v>1503</v>
      </c>
      <c r="AO321" s="239"/>
      <c r="AP321" s="166"/>
      <c r="AQ321" s="167">
        <v>0</v>
      </c>
      <c r="AR321" s="168" t="s">
        <v>60</v>
      </c>
      <c r="AS321" s="169" t="s">
        <v>51</v>
      </c>
    </row>
    <row r="322" spans="1:50" ht="21" x14ac:dyDescent="0.2">
      <c r="A322" s="23" t="s">
        <v>1504</v>
      </c>
      <c r="B322" s="24" t="s">
        <v>1505</v>
      </c>
      <c r="C322" s="90">
        <f>5.076-0.069</f>
        <v>5.0069999999999997</v>
      </c>
      <c r="D322" s="422">
        <f t="shared" ref="D322:D344" si="26">J322+Z322</f>
        <v>5.0069999999999997</v>
      </c>
      <c r="E322" s="422">
        <f t="shared" si="18"/>
        <v>0</v>
      </c>
      <c r="F322" s="25" t="s">
        <v>731</v>
      </c>
      <c r="G322" s="11"/>
      <c r="H322" s="188" t="s">
        <v>1506</v>
      </c>
      <c r="I322" s="326"/>
      <c r="J322" s="257">
        <v>0</v>
      </c>
      <c r="K322" s="27"/>
      <c r="L322" s="91"/>
      <c r="M322" s="91"/>
      <c r="N322" s="92"/>
      <c r="O322" s="92"/>
      <c r="P322" s="92"/>
      <c r="Q322" s="92"/>
      <c r="R322" s="91"/>
      <c r="S322" s="91"/>
      <c r="T322" s="213"/>
      <c r="U322" s="213"/>
      <c r="V322" s="263"/>
      <c r="W322" s="263"/>
      <c r="X322" s="263"/>
      <c r="Y322" s="264"/>
      <c r="Z322" s="308">
        <v>5.0069999999999997</v>
      </c>
      <c r="AA322" s="71" t="s">
        <v>1507</v>
      </c>
      <c r="AB322" s="248">
        <v>0</v>
      </c>
      <c r="AC322" s="101"/>
      <c r="AD322" s="101"/>
      <c r="AE322" s="317"/>
      <c r="AF322" s="317"/>
      <c r="AG322" s="317"/>
      <c r="AH322" s="317"/>
      <c r="AI322" s="101">
        <v>5.0069999999999997</v>
      </c>
      <c r="AJ322" s="101" t="s">
        <v>1507</v>
      </c>
      <c r="AK322" s="79"/>
      <c r="AL322" s="79"/>
      <c r="AM322" s="333"/>
      <c r="AN322" s="333"/>
      <c r="AO322" s="239"/>
      <c r="AP322" s="166">
        <v>0</v>
      </c>
      <c r="AQ322" s="167">
        <v>0</v>
      </c>
      <c r="AR322" s="168" t="s">
        <v>60</v>
      </c>
      <c r="AS322" s="169" t="s">
        <v>51</v>
      </c>
    </row>
    <row r="323" spans="1:50" ht="31.5" x14ac:dyDescent="0.2">
      <c r="A323" s="23" t="s">
        <v>1508</v>
      </c>
      <c r="B323" s="24" t="s">
        <v>1509</v>
      </c>
      <c r="C323" s="90">
        <f>6.091-0.664</f>
        <v>5.4270000000000005</v>
      </c>
      <c r="D323" s="422">
        <f t="shared" si="26"/>
        <v>5.4270000000000005</v>
      </c>
      <c r="E323" s="422">
        <f t="shared" ref="E323:E344" si="27">D323-C323</f>
        <v>0</v>
      </c>
      <c r="F323" s="25" t="s">
        <v>811</v>
      </c>
      <c r="G323" s="26" t="s">
        <v>1510</v>
      </c>
      <c r="H323" s="188"/>
      <c r="I323" s="326"/>
      <c r="J323" s="252">
        <v>5.4270000000000005</v>
      </c>
      <c r="K323" s="29" t="s">
        <v>1511</v>
      </c>
      <c r="L323" s="30"/>
      <c r="M323" s="30"/>
      <c r="N323" s="31"/>
      <c r="O323" s="31"/>
      <c r="P323" s="31"/>
      <c r="Q323" s="489"/>
      <c r="R323" s="29">
        <v>2.7</v>
      </c>
      <c r="S323" s="484" t="s">
        <v>1511</v>
      </c>
      <c r="T323" s="551"/>
      <c r="U323" s="208"/>
      <c r="V323" s="29">
        <v>5.4270000000000005</v>
      </c>
      <c r="W323" s="29" t="s">
        <v>1511</v>
      </c>
      <c r="X323" s="263"/>
      <c r="Y323" s="264"/>
      <c r="Z323" s="299"/>
      <c r="AA323" s="32"/>
      <c r="AB323" s="32"/>
      <c r="AC323" s="35"/>
      <c r="AD323" s="32"/>
      <c r="AE323" s="34"/>
      <c r="AF323" s="34"/>
      <c r="AG323" s="34"/>
      <c r="AH323" s="34"/>
      <c r="AI323" s="35"/>
      <c r="AJ323" s="35"/>
      <c r="AK323" s="214"/>
      <c r="AL323" s="214"/>
      <c r="AM323" s="311"/>
      <c r="AN323" s="312"/>
      <c r="AO323" s="239"/>
      <c r="AP323" s="166"/>
      <c r="AQ323" s="167">
        <v>26</v>
      </c>
      <c r="AR323" s="168" t="s">
        <v>1</v>
      </c>
      <c r="AS323" s="169" t="s">
        <v>1</v>
      </c>
      <c r="AT323" s="156"/>
    </row>
    <row r="324" spans="1:50" ht="42" x14ac:dyDescent="0.2">
      <c r="A324" s="23" t="s">
        <v>1512</v>
      </c>
      <c r="B324" s="24" t="s">
        <v>1513</v>
      </c>
      <c r="C324" s="90">
        <f>9.757-0.094</f>
        <v>9.6630000000000003</v>
      </c>
      <c r="D324" s="422">
        <f t="shared" si="26"/>
        <v>9.6630000000000003</v>
      </c>
      <c r="E324" s="422">
        <f t="shared" si="27"/>
        <v>0</v>
      </c>
      <c r="F324" s="25" t="s">
        <v>811</v>
      </c>
      <c r="G324" s="26" t="s">
        <v>1514</v>
      </c>
      <c r="H324" s="188"/>
      <c r="I324" s="326"/>
      <c r="J324" s="257">
        <v>0</v>
      </c>
      <c r="K324" s="36"/>
      <c r="L324" s="36"/>
      <c r="M324" s="36"/>
      <c r="N324" s="37"/>
      <c r="O324" s="37"/>
      <c r="P324" s="37"/>
      <c r="Q324" s="34"/>
      <c r="R324" s="36"/>
      <c r="S324" s="540"/>
      <c r="T324" s="548"/>
      <c r="U324" s="210"/>
      <c r="V324" s="558"/>
      <c r="W324" s="261"/>
      <c r="X324" s="261"/>
      <c r="Y324" s="264"/>
      <c r="Z324" s="302">
        <v>9.6630000000000003</v>
      </c>
      <c r="AA324" s="102" t="s">
        <v>1515</v>
      </c>
      <c r="AB324" s="102">
        <v>0</v>
      </c>
      <c r="AC324" s="104">
        <v>8.8000000000000007</v>
      </c>
      <c r="AD324" s="102" t="s">
        <v>1516</v>
      </c>
      <c r="AE324" s="103">
        <v>12</v>
      </c>
      <c r="AF324" s="103">
        <v>1</v>
      </c>
      <c r="AG324" s="103">
        <v>4</v>
      </c>
      <c r="AH324" s="103">
        <v>0</v>
      </c>
      <c r="AI324" s="104">
        <v>0</v>
      </c>
      <c r="AJ324" s="104"/>
      <c r="AK324" s="104">
        <v>5</v>
      </c>
      <c r="AL324" s="102" t="s">
        <v>1772</v>
      </c>
      <c r="AM324" s="302">
        <v>9.6630000000000003</v>
      </c>
      <c r="AN324" s="102" t="s">
        <v>1515</v>
      </c>
      <c r="AO324" s="239"/>
      <c r="AP324" s="166">
        <v>23</v>
      </c>
      <c r="AQ324" s="170">
        <v>61</v>
      </c>
      <c r="AR324" s="168" t="s">
        <v>1</v>
      </c>
      <c r="AS324" s="169" t="s">
        <v>1</v>
      </c>
      <c r="AT324" s="156"/>
    </row>
    <row r="325" spans="1:50" ht="31.5" x14ac:dyDescent="0.2">
      <c r="A325" s="23" t="s">
        <v>1517</v>
      </c>
      <c r="B325" s="24" t="s">
        <v>1518</v>
      </c>
      <c r="C325" s="90">
        <f>18.642-0.541</f>
        <v>18.100999999999999</v>
      </c>
      <c r="D325" s="422">
        <f t="shared" si="26"/>
        <v>18.100999999999999</v>
      </c>
      <c r="E325" s="422">
        <f t="shared" si="27"/>
        <v>0</v>
      </c>
      <c r="F325" s="25" t="s">
        <v>811</v>
      </c>
      <c r="G325" s="26" t="s">
        <v>1519</v>
      </c>
      <c r="H325" s="188"/>
      <c r="I325" s="326"/>
      <c r="J325" s="252">
        <v>18.100999999999999</v>
      </c>
      <c r="K325" s="29" t="s">
        <v>1520</v>
      </c>
      <c r="L325" s="30"/>
      <c r="M325" s="30"/>
      <c r="N325" s="31"/>
      <c r="O325" s="31"/>
      <c r="P325" s="31"/>
      <c r="Q325" s="489"/>
      <c r="R325" s="29">
        <v>18.100999999999999</v>
      </c>
      <c r="S325" s="484" t="s">
        <v>1520</v>
      </c>
      <c r="T325" s="551"/>
      <c r="U325" s="521"/>
      <c r="V325" s="29">
        <v>18.100999999999999</v>
      </c>
      <c r="W325" s="29" t="s">
        <v>1520</v>
      </c>
      <c r="X325" s="261"/>
      <c r="Y325" s="264"/>
      <c r="Z325" s="299"/>
      <c r="AA325" s="32"/>
      <c r="AB325" s="32"/>
      <c r="AC325" s="35"/>
      <c r="AD325" s="32"/>
      <c r="AE325" s="34"/>
      <c r="AF325" s="34"/>
      <c r="AG325" s="34"/>
      <c r="AH325" s="34"/>
      <c r="AI325" s="35"/>
      <c r="AJ325" s="35"/>
      <c r="AK325" s="214"/>
      <c r="AL325" s="214"/>
      <c r="AM325" s="202"/>
      <c r="AN325" s="312"/>
      <c r="AO325" s="239"/>
      <c r="AP325" s="174"/>
      <c r="AQ325" s="167">
        <v>104</v>
      </c>
      <c r="AR325" s="168" t="s">
        <v>1</v>
      </c>
      <c r="AS325" s="169" t="s">
        <v>1</v>
      </c>
      <c r="AT325" s="156"/>
    </row>
    <row r="326" spans="1:50" ht="31.5" x14ac:dyDescent="0.2">
      <c r="A326" s="23" t="s">
        <v>1521</v>
      </c>
      <c r="B326" s="24" t="s">
        <v>1522</v>
      </c>
      <c r="C326" s="90">
        <v>43.487000000000002</v>
      </c>
      <c r="D326" s="422">
        <f t="shared" si="26"/>
        <v>43.487000000000002</v>
      </c>
      <c r="E326" s="422">
        <f t="shared" si="27"/>
        <v>0</v>
      </c>
      <c r="F326" s="25" t="s">
        <v>811</v>
      </c>
      <c r="G326" s="26" t="s">
        <v>1523</v>
      </c>
      <c r="H326" s="188"/>
      <c r="I326" s="326" t="s">
        <v>1522</v>
      </c>
      <c r="J326" s="250">
        <v>37.6</v>
      </c>
      <c r="K326" s="40" t="s">
        <v>1524</v>
      </c>
      <c r="L326" s="40"/>
      <c r="M326" s="40"/>
      <c r="N326" s="70"/>
      <c r="O326" s="70"/>
      <c r="P326" s="70"/>
      <c r="Q326" s="556"/>
      <c r="R326" s="28">
        <v>37.6</v>
      </c>
      <c r="S326" s="546" t="s">
        <v>1524</v>
      </c>
      <c r="T326" s="28">
        <v>37.6</v>
      </c>
      <c r="U326" s="546" t="s">
        <v>1524</v>
      </c>
      <c r="V326" s="28">
        <v>37.6</v>
      </c>
      <c r="W326" s="40" t="s">
        <v>1524</v>
      </c>
      <c r="X326" s="261"/>
      <c r="Y326" s="264"/>
      <c r="Z326" s="302">
        <v>5.8870000000000005</v>
      </c>
      <c r="AA326" s="124" t="s">
        <v>1525</v>
      </c>
      <c r="AB326" s="124"/>
      <c r="AC326" s="126"/>
      <c r="AD326" s="124"/>
      <c r="AE326" s="125"/>
      <c r="AF326" s="125"/>
      <c r="AG326" s="125"/>
      <c r="AH326" s="125"/>
      <c r="AI326" s="126">
        <v>7.4</v>
      </c>
      <c r="AJ326" s="124" t="s">
        <v>1740</v>
      </c>
      <c r="AK326" s="126">
        <v>7.4</v>
      </c>
      <c r="AL326" s="124" t="s">
        <v>1740</v>
      </c>
      <c r="AM326" s="302">
        <v>5.8870000000000005</v>
      </c>
      <c r="AN326" s="124" t="s">
        <v>1525</v>
      </c>
      <c r="AO326" s="239" t="s">
        <v>1526</v>
      </c>
      <c r="AP326" s="166"/>
      <c r="AQ326" s="167">
        <v>225</v>
      </c>
      <c r="AR326" s="168" t="s">
        <v>873</v>
      </c>
      <c r="AS326" s="169" t="s">
        <v>33</v>
      </c>
      <c r="AT326" s="156"/>
    </row>
    <row r="327" spans="1:50" ht="31.5" x14ac:dyDescent="0.2">
      <c r="A327" s="23" t="s">
        <v>1527</v>
      </c>
      <c r="B327" s="24" t="s">
        <v>1528</v>
      </c>
      <c r="C327" s="90">
        <f>38.378-18.642</f>
        <v>19.736000000000001</v>
      </c>
      <c r="D327" s="422">
        <f t="shared" si="26"/>
        <v>19.735999999999997</v>
      </c>
      <c r="E327" s="422">
        <f t="shared" si="27"/>
        <v>0</v>
      </c>
      <c r="F327" s="25" t="s">
        <v>811</v>
      </c>
      <c r="G327" s="26" t="s">
        <v>1529</v>
      </c>
      <c r="H327" s="188"/>
      <c r="I327" s="326" t="s">
        <v>1530</v>
      </c>
      <c r="J327" s="250">
        <v>4.2779999999999987</v>
      </c>
      <c r="K327" s="120" t="s">
        <v>1531</v>
      </c>
      <c r="L327" s="121"/>
      <c r="M327" s="121"/>
      <c r="N327" s="122"/>
      <c r="O327" s="122"/>
      <c r="P327" s="122"/>
      <c r="Q327" s="557"/>
      <c r="R327" s="28">
        <v>4.2779999999999987</v>
      </c>
      <c r="S327" s="547" t="s">
        <v>1531</v>
      </c>
      <c r="T327" s="28">
        <v>4.2779999999999987</v>
      </c>
      <c r="U327" s="547" t="s">
        <v>1531</v>
      </c>
      <c r="V327" s="28">
        <v>4.2779999999999987</v>
      </c>
      <c r="W327" s="120" t="s">
        <v>1531</v>
      </c>
      <c r="X327" s="261"/>
      <c r="Y327" s="264"/>
      <c r="Z327" s="301">
        <v>15.458</v>
      </c>
      <c r="AA327" s="53" t="s">
        <v>1532</v>
      </c>
      <c r="AB327" s="53"/>
      <c r="AC327" s="56"/>
      <c r="AD327" s="53"/>
      <c r="AE327" s="55"/>
      <c r="AF327" s="55"/>
      <c r="AG327" s="55"/>
      <c r="AH327" s="55"/>
      <c r="AI327" s="56">
        <v>16.5</v>
      </c>
      <c r="AJ327" s="53" t="s">
        <v>1741</v>
      </c>
      <c r="AK327" s="56">
        <v>16.5</v>
      </c>
      <c r="AL327" s="53" t="s">
        <v>1741</v>
      </c>
      <c r="AM327" s="301">
        <v>15.458</v>
      </c>
      <c r="AN327" s="53" t="s">
        <v>1532</v>
      </c>
      <c r="AO327" s="239" t="s">
        <v>1533</v>
      </c>
      <c r="AP327" s="166"/>
      <c r="AQ327" s="167">
        <v>106</v>
      </c>
      <c r="AR327" s="168" t="s">
        <v>873</v>
      </c>
      <c r="AS327" s="169" t="s">
        <v>33</v>
      </c>
      <c r="AT327" s="156">
        <v>28.32</v>
      </c>
      <c r="AU327" s="156">
        <v>29.308</v>
      </c>
      <c r="AV327" s="156">
        <f t="shared" ref="AV327" si="28">AU327-AT327</f>
        <v>0.98799999999999955</v>
      </c>
      <c r="AW327" s="156">
        <v>7.7</v>
      </c>
    </row>
    <row r="328" spans="1:50" ht="31.5" x14ac:dyDescent="0.2">
      <c r="A328" s="23" t="s">
        <v>1534</v>
      </c>
      <c r="B328" s="24" t="s">
        <v>1535</v>
      </c>
      <c r="C328" s="90">
        <f>27.261-21.11</f>
        <v>6.1509999999999998</v>
      </c>
      <c r="D328" s="422">
        <f t="shared" si="26"/>
        <v>6.1509999999999998</v>
      </c>
      <c r="E328" s="422">
        <f t="shared" si="27"/>
        <v>0</v>
      </c>
      <c r="F328" s="25" t="s">
        <v>811</v>
      </c>
      <c r="G328" s="26" t="s">
        <v>1536</v>
      </c>
      <c r="H328" s="188"/>
      <c r="I328" s="327" t="s">
        <v>1535</v>
      </c>
      <c r="J328" s="250">
        <v>6.1509999999999998</v>
      </c>
      <c r="K328" s="105" t="s">
        <v>1537</v>
      </c>
      <c r="L328" s="106"/>
      <c r="M328" s="106"/>
      <c r="N328" s="107"/>
      <c r="O328" s="107"/>
      <c r="P328" s="107"/>
      <c r="Q328" s="544"/>
      <c r="R328" s="28">
        <v>6.1509999999999998</v>
      </c>
      <c r="S328" s="543" t="s">
        <v>1537</v>
      </c>
      <c r="T328" s="28">
        <v>6.1509999999999998</v>
      </c>
      <c r="U328" s="543" t="s">
        <v>1537</v>
      </c>
      <c r="V328" s="28">
        <v>6.1509999999999998</v>
      </c>
      <c r="W328" s="105" t="s">
        <v>1537</v>
      </c>
      <c r="X328" s="261"/>
      <c r="Y328" s="264"/>
      <c r="Z328" s="306"/>
      <c r="AA328" s="65"/>
      <c r="AB328" s="65"/>
      <c r="AC328" s="67"/>
      <c r="AD328" s="65"/>
      <c r="AE328" s="66"/>
      <c r="AF328" s="66"/>
      <c r="AG328" s="66"/>
      <c r="AH328" s="66"/>
      <c r="AI328" s="67"/>
      <c r="AJ328" s="67"/>
      <c r="AK328" s="217"/>
      <c r="AL328" s="217"/>
      <c r="AM328" s="311"/>
      <c r="AN328" s="312"/>
      <c r="AO328" s="239"/>
      <c r="AP328" s="166"/>
      <c r="AQ328" s="167">
        <v>53</v>
      </c>
      <c r="AR328" s="168" t="s">
        <v>1</v>
      </c>
      <c r="AS328" s="169" t="s">
        <v>1</v>
      </c>
      <c r="AT328" s="156"/>
    </row>
    <row r="329" spans="1:50" ht="31.5" x14ac:dyDescent="0.2">
      <c r="A329" s="23" t="s">
        <v>1538</v>
      </c>
      <c r="B329" s="24" t="s">
        <v>1539</v>
      </c>
      <c r="C329" s="90">
        <f>27.453-2.877</f>
        <v>24.576000000000001</v>
      </c>
      <c r="D329" s="422">
        <f t="shared" si="26"/>
        <v>24.576000000000001</v>
      </c>
      <c r="E329" s="422">
        <f t="shared" si="27"/>
        <v>0</v>
      </c>
      <c r="F329" s="25" t="s">
        <v>811</v>
      </c>
      <c r="G329" s="26" t="s">
        <v>1540</v>
      </c>
      <c r="H329" s="188"/>
      <c r="I329" s="326"/>
      <c r="J329" s="250">
        <v>5.3</v>
      </c>
      <c r="K329" s="105" t="s">
        <v>1541</v>
      </c>
      <c r="L329" s="106"/>
      <c r="M329" s="106"/>
      <c r="N329" s="107"/>
      <c r="O329" s="107"/>
      <c r="P329" s="107"/>
      <c r="Q329" s="544"/>
      <c r="R329" s="28">
        <v>5.3</v>
      </c>
      <c r="S329" s="543" t="s">
        <v>1541</v>
      </c>
      <c r="T329" s="551"/>
      <c r="U329" s="521"/>
      <c r="V329" s="28">
        <v>5.3</v>
      </c>
      <c r="W329" s="105" t="s">
        <v>1541</v>
      </c>
      <c r="X329" s="261"/>
      <c r="Y329" s="264"/>
      <c r="Z329" s="301">
        <v>19.276</v>
      </c>
      <c r="AA329" s="53" t="s">
        <v>1542</v>
      </c>
      <c r="AB329" s="53"/>
      <c r="AC329" s="56">
        <v>24.576000000000001</v>
      </c>
      <c r="AD329" s="53" t="s">
        <v>1739</v>
      </c>
      <c r="AE329" s="55">
        <v>14</v>
      </c>
      <c r="AF329" s="55">
        <v>0</v>
      </c>
      <c r="AG329" s="55">
        <v>1</v>
      </c>
      <c r="AH329" s="55">
        <v>0</v>
      </c>
      <c r="AI329" s="104">
        <v>0</v>
      </c>
      <c r="AJ329" s="56"/>
      <c r="AK329" s="202">
        <f>0.5+0.5+0.3+0.3</f>
        <v>1.6</v>
      </c>
      <c r="AL329" s="53" t="s">
        <v>1770</v>
      </c>
      <c r="AM329" s="301">
        <v>19.276</v>
      </c>
      <c r="AN329" s="53" t="s">
        <v>1542</v>
      </c>
      <c r="AO329" s="239"/>
      <c r="AP329" s="166">
        <v>14</v>
      </c>
      <c r="AQ329" s="424">
        <v>131</v>
      </c>
      <c r="AR329" s="168" t="s">
        <v>1</v>
      </c>
      <c r="AS329" s="169" t="s">
        <v>1</v>
      </c>
      <c r="AT329" s="156"/>
    </row>
    <row r="330" spans="1:50" ht="52.5" x14ac:dyDescent="0.2">
      <c r="A330" s="23" t="s">
        <v>1543</v>
      </c>
      <c r="B330" s="498" t="s">
        <v>1544</v>
      </c>
      <c r="C330" s="90">
        <f>17.184-0.76</f>
        <v>16.423999999999999</v>
      </c>
      <c r="D330" s="422">
        <f t="shared" si="26"/>
        <v>14.19</v>
      </c>
      <c r="E330" s="497">
        <f t="shared" si="27"/>
        <v>-2.234</v>
      </c>
      <c r="F330" s="25" t="s">
        <v>731</v>
      </c>
      <c r="G330" s="26" t="s">
        <v>1545</v>
      </c>
      <c r="H330" s="188"/>
      <c r="I330" s="326"/>
      <c r="J330" s="273"/>
      <c r="K330" s="133"/>
      <c r="L330" s="132"/>
      <c r="M330" s="132"/>
      <c r="N330" s="134"/>
      <c r="O330" s="134"/>
      <c r="P330" s="134"/>
      <c r="Q330" s="134"/>
      <c r="R330" s="132"/>
      <c r="S330" s="132"/>
      <c r="T330" s="215"/>
      <c r="U330" s="215"/>
      <c r="V330" s="263"/>
      <c r="W330" s="263"/>
      <c r="X330" s="263"/>
      <c r="Y330" s="264"/>
      <c r="Z330" s="308">
        <v>14.19</v>
      </c>
      <c r="AA330" s="71" t="s">
        <v>1546</v>
      </c>
      <c r="AB330" s="71">
        <f>Z330</f>
        <v>14.19</v>
      </c>
      <c r="AC330" s="79"/>
      <c r="AD330" s="71"/>
      <c r="AE330" s="78"/>
      <c r="AF330" s="78"/>
      <c r="AG330" s="78"/>
      <c r="AH330" s="78"/>
      <c r="AI330" s="79"/>
      <c r="AJ330" s="79"/>
      <c r="AK330" s="79"/>
      <c r="AL330" s="79"/>
      <c r="AM330" s="333"/>
      <c r="AN330" s="333"/>
      <c r="AO330" s="239"/>
      <c r="AP330" s="166"/>
      <c r="AQ330" s="167">
        <v>65</v>
      </c>
      <c r="AR330" s="168" t="s">
        <v>873</v>
      </c>
      <c r="AS330" s="169" t="s">
        <v>33</v>
      </c>
      <c r="AT330" s="156"/>
    </row>
    <row r="331" spans="1:50" ht="63" x14ac:dyDescent="0.2">
      <c r="A331" s="23" t="s">
        <v>1547</v>
      </c>
      <c r="B331" s="24" t="s">
        <v>1548</v>
      </c>
      <c r="C331" s="90">
        <f>180.958-77.992</f>
        <v>102.96599999999999</v>
      </c>
      <c r="D331" s="422">
        <f t="shared" si="26"/>
        <v>102.96600000000001</v>
      </c>
      <c r="E331" s="422">
        <f t="shared" si="27"/>
        <v>0</v>
      </c>
      <c r="F331" s="25" t="s">
        <v>1365</v>
      </c>
      <c r="G331" s="38" t="s">
        <v>1549</v>
      </c>
      <c r="H331" s="188" t="s">
        <v>1550</v>
      </c>
      <c r="I331" s="326" t="s">
        <v>1548</v>
      </c>
      <c r="J331" s="250">
        <v>45.1</v>
      </c>
      <c r="K331" s="29" t="s">
        <v>1551</v>
      </c>
      <c r="L331" s="28"/>
      <c r="M331" s="28"/>
      <c r="N331" s="48"/>
      <c r="O331" s="48"/>
      <c r="P331" s="48"/>
      <c r="Q331" s="48"/>
      <c r="R331" s="481">
        <v>19</v>
      </c>
      <c r="S331" s="28" t="s">
        <v>1696</v>
      </c>
      <c r="T331" s="481">
        <v>19</v>
      </c>
      <c r="U331" s="28" t="s">
        <v>1696</v>
      </c>
      <c r="V331" s="28"/>
      <c r="W331" s="29" t="s">
        <v>1551</v>
      </c>
      <c r="X331" s="149">
        <v>45.1</v>
      </c>
      <c r="Y331" s="249" t="s">
        <v>1551</v>
      </c>
      <c r="Z331" s="301">
        <v>57.866</v>
      </c>
      <c r="AA331" s="76" t="s">
        <v>1552</v>
      </c>
      <c r="AB331" s="71">
        <v>49.576000000000001</v>
      </c>
      <c r="AC331" s="61"/>
      <c r="AD331" s="59"/>
      <c r="AE331" s="78"/>
      <c r="AF331" s="78"/>
      <c r="AG331" s="78"/>
      <c r="AH331" s="78"/>
      <c r="AI331" s="79">
        <v>8.1999999999999993</v>
      </c>
      <c r="AJ331" s="79" t="s">
        <v>1697</v>
      </c>
      <c r="AK331" s="79">
        <v>8.1999999999999993</v>
      </c>
      <c r="AL331" s="79" t="s">
        <v>1697</v>
      </c>
      <c r="AM331" s="336">
        <f>8.208+49.658</f>
        <v>57.866</v>
      </c>
      <c r="AN331" s="349" t="s">
        <v>1630</v>
      </c>
      <c r="AO331" s="239" t="s">
        <v>1553</v>
      </c>
      <c r="AP331" s="166"/>
      <c r="AQ331" s="167">
        <v>577</v>
      </c>
      <c r="AR331" s="168" t="s">
        <v>873</v>
      </c>
      <c r="AS331" s="169" t="s">
        <v>33</v>
      </c>
      <c r="AT331" s="156">
        <v>82.149000000000001</v>
      </c>
      <c r="AU331" s="156">
        <v>84.137</v>
      </c>
      <c r="AV331" s="156">
        <f>AU331-AT331</f>
        <v>1.9879999999999995</v>
      </c>
      <c r="AW331" s="156">
        <v>40</v>
      </c>
      <c r="AX331" s="156">
        <v>40</v>
      </c>
    </row>
    <row r="332" spans="1:50" ht="31.5" x14ac:dyDescent="0.2">
      <c r="A332" s="23" t="s">
        <v>1554</v>
      </c>
      <c r="B332" s="498" t="s">
        <v>1555</v>
      </c>
      <c r="C332" s="90">
        <f>5.078-0.51</f>
        <v>4.5680000000000005</v>
      </c>
      <c r="D332" s="422">
        <f t="shared" si="26"/>
        <v>4.5679999999999996</v>
      </c>
      <c r="E332" s="497">
        <f t="shared" si="27"/>
        <v>0</v>
      </c>
      <c r="F332" s="25" t="s">
        <v>731</v>
      </c>
      <c r="G332" s="26" t="s">
        <v>1556</v>
      </c>
      <c r="H332" s="188"/>
      <c r="I332" s="326"/>
      <c r="J332" s="250">
        <v>0.64999999999999991</v>
      </c>
      <c r="K332" s="28" t="s">
        <v>1557</v>
      </c>
      <c r="L332" s="28"/>
      <c r="M332" s="28"/>
      <c r="N332" s="48"/>
      <c r="O332" s="48"/>
      <c r="P332" s="48"/>
      <c r="Q332" s="48"/>
      <c r="R332" s="481">
        <v>0.5</v>
      </c>
      <c r="S332" s="28" t="s">
        <v>1685</v>
      </c>
      <c r="T332" s="195">
        <v>0.5</v>
      </c>
      <c r="U332" s="195" t="s">
        <v>1685</v>
      </c>
      <c r="V332" s="418"/>
      <c r="W332" s="418"/>
      <c r="X332" s="263"/>
      <c r="Y332" s="264"/>
      <c r="Z332" s="308">
        <v>3.9180000000000001</v>
      </c>
      <c r="AA332" s="59" t="s">
        <v>1558</v>
      </c>
      <c r="AB332" s="71">
        <v>1.9179999999999999</v>
      </c>
      <c r="AC332" s="61"/>
      <c r="AD332" s="59"/>
      <c r="AE332" s="60"/>
      <c r="AF332" s="60"/>
      <c r="AG332" s="60"/>
      <c r="AH332" s="60"/>
      <c r="AI332" s="61">
        <v>2</v>
      </c>
      <c r="AJ332" s="61" t="s">
        <v>1686</v>
      </c>
      <c r="AK332" s="61"/>
      <c r="AL332" s="61"/>
      <c r="AM332" s="333"/>
      <c r="AN332" s="333"/>
      <c r="AO332" s="239"/>
      <c r="AP332" s="166"/>
      <c r="AQ332" s="167">
        <v>22</v>
      </c>
      <c r="AR332" s="168" t="s">
        <v>873</v>
      </c>
      <c r="AS332" s="169" t="s">
        <v>33</v>
      </c>
    </row>
    <row r="333" spans="1:50" ht="31.5" x14ac:dyDescent="0.2">
      <c r="A333" s="23" t="s">
        <v>1559</v>
      </c>
      <c r="B333" s="498" t="s">
        <v>1560</v>
      </c>
      <c r="C333" s="90">
        <f>6.131-0.667</f>
        <v>5.4640000000000004</v>
      </c>
      <c r="D333" s="422">
        <f t="shared" si="26"/>
        <v>2.3420000000000001</v>
      </c>
      <c r="E333" s="497">
        <f t="shared" si="27"/>
        <v>-3.1220000000000003</v>
      </c>
      <c r="F333" s="25" t="s">
        <v>731</v>
      </c>
      <c r="G333" s="26" t="s">
        <v>1561</v>
      </c>
      <c r="H333" s="188"/>
      <c r="I333" s="326" t="s">
        <v>1562</v>
      </c>
      <c r="J333" s="257"/>
      <c r="K333" s="27"/>
      <c r="L333" s="49"/>
      <c r="M333" s="49"/>
      <c r="N333" s="50"/>
      <c r="O333" s="50"/>
      <c r="P333" s="50"/>
      <c r="Q333" s="50"/>
      <c r="R333" s="49"/>
      <c r="S333" s="49"/>
      <c r="T333" s="213"/>
      <c r="U333" s="213"/>
      <c r="V333" s="263"/>
      <c r="W333" s="263"/>
      <c r="X333" s="263"/>
      <c r="Y333" s="264"/>
      <c r="Z333" s="308">
        <v>2.3420000000000001</v>
      </c>
      <c r="AA333" s="59" t="s">
        <v>1563</v>
      </c>
      <c r="AB333" s="59"/>
      <c r="AC333" s="61"/>
      <c r="AD333" s="59"/>
      <c r="AE333" s="60"/>
      <c r="AF333" s="60"/>
      <c r="AG333" s="60"/>
      <c r="AH333" s="60"/>
      <c r="AI333" s="61">
        <f>3.009-0.667</f>
        <v>2.3419999999999996</v>
      </c>
      <c r="AJ333" s="61" t="s">
        <v>1563</v>
      </c>
      <c r="AK333" s="61">
        <f>3.009-0.667</f>
        <v>2.3419999999999996</v>
      </c>
      <c r="AL333" s="61" t="s">
        <v>1563</v>
      </c>
      <c r="AM333" s="333"/>
      <c r="AN333" s="333"/>
      <c r="AO333" s="239"/>
      <c r="AP333" s="166"/>
      <c r="AQ333" s="167">
        <v>0</v>
      </c>
      <c r="AR333" s="168" t="s">
        <v>60</v>
      </c>
      <c r="AS333" s="169" t="s">
        <v>51</v>
      </c>
    </row>
    <row r="334" spans="1:50" ht="31.5" x14ac:dyDescent="0.2">
      <c r="A334" s="23" t="s">
        <v>1564</v>
      </c>
      <c r="B334" s="24" t="s">
        <v>1565</v>
      </c>
      <c r="C334" s="90">
        <f>24.861-0.158</f>
        <v>24.702999999999999</v>
      </c>
      <c r="D334" s="422">
        <f t="shared" si="26"/>
        <v>24.702999999999999</v>
      </c>
      <c r="E334" s="422">
        <f t="shared" si="27"/>
        <v>0</v>
      </c>
      <c r="F334" s="25" t="s">
        <v>811</v>
      </c>
      <c r="G334" s="26" t="s">
        <v>1566</v>
      </c>
      <c r="H334" s="188"/>
      <c r="I334" s="326"/>
      <c r="J334" s="250">
        <v>24.702999999999999</v>
      </c>
      <c r="K334" s="28" t="s">
        <v>1567</v>
      </c>
      <c r="L334" s="46">
        <v>22.4</v>
      </c>
      <c r="M334" s="46" t="s">
        <v>1568</v>
      </c>
      <c r="N334" s="47">
        <v>22</v>
      </c>
      <c r="O334" s="47">
        <v>0</v>
      </c>
      <c r="P334" s="47">
        <v>16</v>
      </c>
      <c r="Q334" s="553">
        <v>0</v>
      </c>
      <c r="R334" s="28">
        <v>2.3029999999999999</v>
      </c>
      <c r="S334" s="542" t="s">
        <v>1823</v>
      </c>
      <c r="T334" s="550"/>
      <c r="U334" s="538"/>
      <c r="V334" s="28">
        <v>24.702999999999999</v>
      </c>
      <c r="W334" s="28" t="s">
        <v>1567</v>
      </c>
      <c r="X334" s="263"/>
      <c r="Y334" s="264"/>
      <c r="Z334" s="299"/>
      <c r="AA334" s="32"/>
      <c r="AB334" s="32"/>
      <c r="AC334" s="35"/>
      <c r="AD334" s="32"/>
      <c r="AE334" s="34"/>
      <c r="AF334" s="34"/>
      <c r="AG334" s="34"/>
      <c r="AH334" s="34"/>
      <c r="AI334" s="35"/>
      <c r="AJ334" s="35"/>
      <c r="AK334" s="214"/>
      <c r="AL334" s="214"/>
      <c r="AM334" s="311"/>
      <c r="AN334" s="312"/>
      <c r="AO334" s="239"/>
      <c r="AP334" s="166">
        <v>22</v>
      </c>
      <c r="AQ334" s="167">
        <v>151</v>
      </c>
      <c r="AR334" s="168" t="s">
        <v>1</v>
      </c>
      <c r="AS334" s="169" t="s">
        <v>1</v>
      </c>
      <c r="AT334" s="156"/>
    </row>
    <row r="335" spans="1:50" ht="42" x14ac:dyDescent="0.2">
      <c r="A335" s="23" t="s">
        <v>1569</v>
      </c>
      <c r="B335" s="24" t="s">
        <v>1570</v>
      </c>
      <c r="C335" s="90">
        <f>339.632-286.534</f>
        <v>53.098000000000013</v>
      </c>
      <c r="D335" s="422">
        <f t="shared" si="26"/>
        <v>53.097999999999999</v>
      </c>
      <c r="E335" s="497">
        <f t="shared" si="27"/>
        <v>0</v>
      </c>
      <c r="F335" s="25" t="s">
        <v>848</v>
      </c>
      <c r="G335" s="38" t="s">
        <v>1571</v>
      </c>
      <c r="H335" s="188"/>
      <c r="I335" s="326" t="s">
        <v>1570</v>
      </c>
      <c r="J335" s="250">
        <v>16.100000000000001</v>
      </c>
      <c r="K335" s="40" t="s">
        <v>1714</v>
      </c>
      <c r="L335" s="40"/>
      <c r="M335" s="40"/>
      <c r="N335" s="70"/>
      <c r="O335" s="70"/>
      <c r="P335" s="70"/>
      <c r="Q335" s="70"/>
      <c r="R335" s="40"/>
      <c r="S335" s="40"/>
      <c r="T335" s="29"/>
      <c r="U335" s="29"/>
      <c r="V335" s="28"/>
      <c r="W335" s="40"/>
      <c r="X335" s="149">
        <v>16.100000000000001</v>
      </c>
      <c r="Y335" s="253" t="s">
        <v>1572</v>
      </c>
      <c r="Z335" s="308">
        <v>36.997999999999998</v>
      </c>
      <c r="AA335" s="72" t="s">
        <v>1711</v>
      </c>
      <c r="AB335" s="72">
        <v>36.997999999999998</v>
      </c>
      <c r="AC335" s="74">
        <v>0</v>
      </c>
      <c r="AD335" s="72">
        <v>0</v>
      </c>
      <c r="AE335" s="73">
        <v>0</v>
      </c>
      <c r="AF335" s="73">
        <v>0</v>
      </c>
      <c r="AG335" s="73">
        <v>0</v>
      </c>
      <c r="AH335" s="73">
        <v>0</v>
      </c>
      <c r="AI335" s="74">
        <v>0</v>
      </c>
      <c r="AJ335" s="74"/>
      <c r="AK335" s="74"/>
      <c r="AL335" s="74"/>
      <c r="AM335" s="308">
        <v>36.997999999999998</v>
      </c>
      <c r="AN335" s="72" t="s">
        <v>1711</v>
      </c>
      <c r="AO335" s="239"/>
      <c r="AP335" s="166"/>
      <c r="AQ335" s="167">
        <v>271</v>
      </c>
      <c r="AR335" s="168" t="s">
        <v>873</v>
      </c>
      <c r="AS335" s="169" t="s">
        <v>33</v>
      </c>
      <c r="AT335" s="156"/>
    </row>
    <row r="336" spans="1:50" ht="31.5" x14ac:dyDescent="0.2">
      <c r="A336" s="23" t="s">
        <v>1573</v>
      </c>
      <c r="B336" s="24" t="s">
        <v>1574</v>
      </c>
      <c r="C336" s="90">
        <f>1.206-0.087</f>
        <v>1.119</v>
      </c>
      <c r="D336" s="422">
        <f t="shared" si="26"/>
        <v>1.119</v>
      </c>
      <c r="E336" s="422">
        <f t="shared" si="27"/>
        <v>0</v>
      </c>
      <c r="F336" s="25" t="s">
        <v>848</v>
      </c>
      <c r="G336" s="38" t="s">
        <v>1575</v>
      </c>
      <c r="H336" s="188"/>
      <c r="I336" s="326" t="s">
        <v>1574</v>
      </c>
      <c r="J336" s="257"/>
      <c r="K336" s="27"/>
      <c r="L336" s="27"/>
      <c r="M336" s="27"/>
      <c r="N336" s="37"/>
      <c r="O336" s="37"/>
      <c r="P336" s="37"/>
      <c r="Q336" s="37"/>
      <c r="R336" s="27"/>
      <c r="S336" s="27"/>
      <c r="T336" s="27"/>
      <c r="U336" s="27"/>
      <c r="V336" s="27"/>
      <c r="W336" s="27"/>
      <c r="X336" s="361"/>
      <c r="Y336" s="419"/>
      <c r="Z336" s="308">
        <v>1.119</v>
      </c>
      <c r="AA336" s="71" t="s">
        <v>1576</v>
      </c>
      <c r="AB336" s="71">
        <v>1.119</v>
      </c>
      <c r="AC336" s="79">
        <v>0</v>
      </c>
      <c r="AD336" s="71">
        <v>0</v>
      </c>
      <c r="AE336" s="78">
        <v>0</v>
      </c>
      <c r="AF336" s="78">
        <v>0</v>
      </c>
      <c r="AG336" s="78">
        <v>0</v>
      </c>
      <c r="AH336" s="78">
        <v>0</v>
      </c>
      <c r="AI336" s="79">
        <v>0</v>
      </c>
      <c r="AJ336" s="79">
        <v>0</v>
      </c>
      <c r="AK336" s="79"/>
      <c r="AL336" s="79"/>
      <c r="AM336" s="71">
        <v>1.119</v>
      </c>
      <c r="AN336" s="204" t="s">
        <v>1576</v>
      </c>
      <c r="AO336" s="239"/>
      <c r="AP336" s="166"/>
      <c r="AQ336" s="167">
        <v>0</v>
      </c>
      <c r="AR336" s="168" t="s">
        <v>60</v>
      </c>
      <c r="AS336" s="169" t="s">
        <v>33</v>
      </c>
      <c r="AT336" s="156"/>
    </row>
    <row r="337" spans="1:56" ht="42" x14ac:dyDescent="0.2">
      <c r="A337" s="23" t="s">
        <v>1577</v>
      </c>
      <c r="B337" s="24" t="s">
        <v>1578</v>
      </c>
      <c r="C337" s="90">
        <f>5.28-0.48</f>
        <v>4.8000000000000007</v>
      </c>
      <c r="D337" s="422">
        <f t="shared" si="26"/>
        <v>4.8000000000000007</v>
      </c>
      <c r="E337" s="422">
        <f t="shared" si="27"/>
        <v>0</v>
      </c>
      <c r="F337" s="25" t="s">
        <v>848</v>
      </c>
      <c r="G337" s="26" t="s">
        <v>1579</v>
      </c>
      <c r="H337" s="188"/>
      <c r="I337" s="326"/>
      <c r="J337" s="250">
        <v>4.8000000000000007</v>
      </c>
      <c r="K337" s="29" t="s">
        <v>1580</v>
      </c>
      <c r="L337" s="30"/>
      <c r="M337" s="30"/>
      <c r="N337" s="31"/>
      <c r="O337" s="31"/>
      <c r="P337" s="31"/>
      <c r="Q337" s="31"/>
      <c r="R337" s="30">
        <v>0</v>
      </c>
      <c r="S337" s="30"/>
      <c r="T337" s="208"/>
      <c r="U337" s="208"/>
      <c r="V337" s="418"/>
      <c r="W337" s="418"/>
      <c r="X337" s="263"/>
      <c r="Y337" s="264"/>
      <c r="Z337" s="299"/>
      <c r="AA337" s="32"/>
      <c r="AB337" s="32"/>
      <c r="AC337" s="35"/>
      <c r="AD337" s="32"/>
      <c r="AE337" s="34"/>
      <c r="AF337" s="34"/>
      <c r="AG337" s="34"/>
      <c r="AH337" s="34"/>
      <c r="AI337" s="35"/>
      <c r="AJ337" s="35"/>
      <c r="AK337" s="214"/>
      <c r="AL337" s="214"/>
      <c r="AM337" s="311"/>
      <c r="AN337" s="312"/>
      <c r="AO337" s="239"/>
      <c r="AP337" s="166"/>
      <c r="AQ337" s="167">
        <v>19</v>
      </c>
      <c r="AR337" s="168" t="s">
        <v>1</v>
      </c>
      <c r="AS337" s="169" t="s">
        <v>1</v>
      </c>
      <c r="AT337" s="156"/>
    </row>
    <row r="338" spans="1:56" ht="31.5" x14ac:dyDescent="0.2">
      <c r="A338" s="23" t="s">
        <v>1581</v>
      </c>
      <c r="B338" s="24" t="s">
        <v>1582</v>
      </c>
      <c r="C338" s="90">
        <f>28.355-0.757</f>
        <v>27.597999999999999</v>
      </c>
      <c r="D338" s="422">
        <f t="shared" si="26"/>
        <v>27.597999999999999</v>
      </c>
      <c r="E338" s="422">
        <f t="shared" si="27"/>
        <v>0</v>
      </c>
      <c r="F338" s="25" t="s">
        <v>848</v>
      </c>
      <c r="G338" s="38" t="s">
        <v>1583</v>
      </c>
      <c r="H338" s="188"/>
      <c r="I338" s="326" t="s">
        <v>1582</v>
      </c>
      <c r="J338" s="250">
        <v>10.693</v>
      </c>
      <c r="K338" s="29" t="s">
        <v>1584</v>
      </c>
      <c r="L338" s="29"/>
      <c r="M338" s="29"/>
      <c r="N338" s="68"/>
      <c r="O338" s="68"/>
      <c r="P338" s="68"/>
      <c r="Q338" s="68"/>
      <c r="R338" s="29"/>
      <c r="S338" s="29"/>
      <c r="T338" s="29"/>
      <c r="U338" s="29"/>
      <c r="V338" s="28"/>
      <c r="W338" s="29"/>
      <c r="X338" s="149">
        <v>10.693</v>
      </c>
      <c r="Y338" s="249" t="s">
        <v>1584</v>
      </c>
      <c r="Z338" s="308">
        <v>16.905000000000001</v>
      </c>
      <c r="AA338" s="71" t="s">
        <v>1585</v>
      </c>
      <c r="AB338" s="71">
        <v>16.905000000000001</v>
      </c>
      <c r="AC338" s="79">
        <v>0</v>
      </c>
      <c r="AD338" s="71">
        <v>0</v>
      </c>
      <c r="AE338" s="78">
        <v>0</v>
      </c>
      <c r="AF338" s="78">
        <v>0</v>
      </c>
      <c r="AG338" s="78">
        <v>0</v>
      </c>
      <c r="AH338" s="78">
        <v>0</v>
      </c>
      <c r="AI338" s="79">
        <v>0</v>
      </c>
      <c r="AJ338" s="79"/>
      <c r="AK338" s="79"/>
      <c r="AL338" s="79"/>
      <c r="AM338" s="71">
        <v>16.905000000000001</v>
      </c>
      <c r="AN338" s="204" t="s">
        <v>1585</v>
      </c>
      <c r="AO338" s="239" t="s">
        <v>1586</v>
      </c>
      <c r="AP338" s="166"/>
      <c r="AQ338" s="167">
        <v>149</v>
      </c>
      <c r="AR338" s="168" t="s">
        <v>873</v>
      </c>
      <c r="AS338" s="169" t="s">
        <v>33</v>
      </c>
      <c r="AT338" s="156">
        <v>18.417999999999999</v>
      </c>
      <c r="AU338" s="156">
        <v>19.802</v>
      </c>
      <c r="AV338" s="156">
        <f>AU338-AT338</f>
        <v>1.3840000000000003</v>
      </c>
      <c r="AW338" s="156">
        <v>15.5</v>
      </c>
      <c r="AX338" s="156">
        <v>15.5</v>
      </c>
    </row>
    <row r="339" spans="1:56" ht="31.5" x14ac:dyDescent="0.2">
      <c r="A339" s="23" t="s">
        <v>1587</v>
      </c>
      <c r="B339" s="24" t="s">
        <v>1588</v>
      </c>
      <c r="C339" s="90">
        <f>136.756-111.796</f>
        <v>24.959999999999994</v>
      </c>
      <c r="D339" s="422">
        <f t="shared" si="26"/>
        <v>24.959999999999994</v>
      </c>
      <c r="E339" s="422">
        <f t="shared" si="27"/>
        <v>0</v>
      </c>
      <c r="F339" s="25" t="s">
        <v>848</v>
      </c>
      <c r="G339" s="38" t="s">
        <v>1589</v>
      </c>
      <c r="H339" s="188"/>
      <c r="I339" s="326"/>
      <c r="J339" s="250">
        <v>0.47699999999998965</v>
      </c>
      <c r="K339" s="29" t="s">
        <v>1590</v>
      </c>
      <c r="L339" s="29"/>
      <c r="M339" s="29"/>
      <c r="N339" s="68"/>
      <c r="O339" s="68"/>
      <c r="P339" s="68"/>
      <c r="Q339" s="68"/>
      <c r="R339" s="29"/>
      <c r="S339" s="29"/>
      <c r="T339" s="29"/>
      <c r="U339" s="29"/>
      <c r="V339" s="28">
        <v>0.47699999999998965</v>
      </c>
      <c r="W339" s="29" t="s">
        <v>1590</v>
      </c>
      <c r="X339" s="151"/>
      <c r="Y339" s="271"/>
      <c r="Z339" s="308">
        <v>24.483000000000004</v>
      </c>
      <c r="AA339" s="71" t="s">
        <v>1591</v>
      </c>
      <c r="AB339" s="71"/>
      <c r="AC339" s="79">
        <f>130.702-112.162</f>
        <v>18.539999999999992</v>
      </c>
      <c r="AD339" s="71" t="s">
        <v>1712</v>
      </c>
      <c r="AE339" s="78">
        <v>30</v>
      </c>
      <c r="AF339" s="78">
        <v>0</v>
      </c>
      <c r="AG339" s="78">
        <v>2</v>
      </c>
      <c r="AH339" s="78">
        <v>0</v>
      </c>
      <c r="AI339" s="79">
        <f>(112.162-111.7)+(137.9-130.702)</f>
        <v>7.6600000000000108</v>
      </c>
      <c r="AJ339" s="79" t="s">
        <v>1713</v>
      </c>
      <c r="AK339" s="79"/>
      <c r="AL339" s="79"/>
      <c r="AM339" s="71">
        <v>24.483000000000004</v>
      </c>
      <c r="AN339" s="204" t="s">
        <v>1591</v>
      </c>
      <c r="AO339" s="239"/>
      <c r="AP339" s="166">
        <v>0</v>
      </c>
      <c r="AQ339" s="167">
        <v>0</v>
      </c>
      <c r="AR339" s="168" t="s">
        <v>60</v>
      </c>
      <c r="AS339" s="169" t="s">
        <v>33</v>
      </c>
      <c r="AT339" s="156"/>
    </row>
    <row r="340" spans="1:56" ht="31.5" x14ac:dyDescent="0.2">
      <c r="A340" s="23" t="s">
        <v>1592</v>
      </c>
      <c r="B340" s="24" t="s">
        <v>1593</v>
      </c>
      <c r="C340" s="90">
        <f>139.155-138.798</f>
        <v>0.35699999999999932</v>
      </c>
      <c r="D340" s="422">
        <f t="shared" si="26"/>
        <v>0.35699999999999998</v>
      </c>
      <c r="E340" s="422">
        <f t="shared" si="27"/>
        <v>6.6613381477509392E-16</v>
      </c>
      <c r="F340" s="25" t="s">
        <v>848</v>
      </c>
      <c r="G340" s="38" t="s">
        <v>1594</v>
      </c>
      <c r="H340" s="188"/>
      <c r="I340" s="326" t="s">
        <v>1593</v>
      </c>
      <c r="J340" s="274"/>
      <c r="K340" s="27"/>
      <c r="L340" s="27"/>
      <c r="M340" s="27"/>
      <c r="N340" s="37"/>
      <c r="O340" s="37"/>
      <c r="P340" s="37"/>
      <c r="Q340" s="37"/>
      <c r="R340" s="27"/>
      <c r="S340" s="27"/>
      <c r="T340" s="27"/>
      <c r="U340" s="27"/>
      <c r="V340" s="27"/>
      <c r="W340" s="27"/>
      <c r="X340" s="361"/>
      <c r="Y340" s="419"/>
      <c r="Z340" s="308">
        <v>0.35699999999999998</v>
      </c>
      <c r="AA340" s="71" t="s">
        <v>1593</v>
      </c>
      <c r="AB340" s="71">
        <v>0.35699999999999998</v>
      </c>
      <c r="AC340" s="79">
        <v>0</v>
      </c>
      <c r="AD340" s="71">
        <v>0</v>
      </c>
      <c r="AE340" s="78">
        <v>0</v>
      </c>
      <c r="AF340" s="78">
        <v>0</v>
      </c>
      <c r="AG340" s="78">
        <v>0</v>
      </c>
      <c r="AH340" s="78">
        <v>0</v>
      </c>
      <c r="AI340" s="79">
        <v>0</v>
      </c>
      <c r="AJ340" s="79"/>
      <c r="AK340" s="79"/>
      <c r="AL340" s="79"/>
      <c r="AM340" s="71">
        <v>0.314</v>
      </c>
      <c r="AN340" s="204" t="s">
        <v>1595</v>
      </c>
      <c r="AO340" s="239"/>
      <c r="AP340" s="166"/>
      <c r="AQ340" s="167">
        <v>0</v>
      </c>
      <c r="AR340" s="168" t="s">
        <v>873</v>
      </c>
      <c r="AS340" s="169" t="s">
        <v>33</v>
      </c>
      <c r="AT340" s="156"/>
    </row>
    <row r="341" spans="1:56" ht="31.5" x14ac:dyDescent="0.2">
      <c r="A341" s="99" t="s">
        <v>1596</v>
      </c>
      <c r="B341" s="24" t="s">
        <v>1597</v>
      </c>
      <c r="C341" s="90">
        <f>38.987-31.074</f>
        <v>7.9130000000000003</v>
      </c>
      <c r="D341" s="422">
        <f t="shared" si="26"/>
        <v>7.9130000000000003</v>
      </c>
      <c r="E341" s="423">
        <f t="shared" si="27"/>
        <v>0</v>
      </c>
      <c r="F341" s="25" t="s">
        <v>848</v>
      </c>
      <c r="G341" s="38" t="s">
        <v>1598</v>
      </c>
      <c r="H341" s="188"/>
      <c r="I341" s="326" t="s">
        <v>1597</v>
      </c>
      <c r="J341" s="250">
        <v>7.9130000000000003</v>
      </c>
      <c r="K341" s="29" t="s">
        <v>1597</v>
      </c>
      <c r="L341" s="29"/>
      <c r="M341" s="29"/>
      <c r="N341" s="68"/>
      <c r="O341" s="68"/>
      <c r="P341" s="68"/>
      <c r="Q341" s="68"/>
      <c r="R341" s="29"/>
      <c r="S341" s="29"/>
      <c r="T341" s="29"/>
      <c r="U341" s="29"/>
      <c r="V341" s="250">
        <v>7.9130000000000003</v>
      </c>
      <c r="W341" s="29" t="s">
        <v>1597</v>
      </c>
      <c r="X341" s="151"/>
      <c r="Y341" s="271"/>
      <c r="Z341" s="308"/>
      <c r="AA341" s="71"/>
      <c r="AB341" s="71"/>
      <c r="AC341" s="79">
        <v>0</v>
      </c>
      <c r="AD341" s="71">
        <v>0</v>
      </c>
      <c r="AE341" s="78">
        <v>0</v>
      </c>
      <c r="AF341" s="78">
        <v>0</v>
      </c>
      <c r="AG341" s="78">
        <v>0</v>
      </c>
      <c r="AH341" s="78">
        <v>0</v>
      </c>
      <c r="AI341" s="79">
        <v>0</v>
      </c>
      <c r="AJ341" s="79"/>
      <c r="AK341" s="79"/>
      <c r="AL341" s="79"/>
      <c r="AM341" s="71"/>
      <c r="AN341" s="204"/>
      <c r="AO341" s="239" t="s">
        <v>1599</v>
      </c>
      <c r="AP341" s="166"/>
      <c r="AQ341" s="167">
        <v>41</v>
      </c>
      <c r="AR341" s="168" t="s">
        <v>873</v>
      </c>
      <c r="AS341" s="169" t="s">
        <v>33</v>
      </c>
      <c r="AT341" s="156">
        <v>33.094000000000001</v>
      </c>
      <c r="AU341" s="156">
        <v>34.5</v>
      </c>
      <c r="AV341" s="156">
        <f>AU341-AT341</f>
        <v>1.4059999999999988</v>
      </c>
      <c r="AW341" s="156">
        <v>10.119999999999999</v>
      </c>
      <c r="AX341" s="156">
        <v>10.199999999999999</v>
      </c>
    </row>
    <row r="342" spans="1:56" ht="31.5" x14ac:dyDescent="0.2">
      <c r="A342" s="23" t="s">
        <v>1600</v>
      </c>
      <c r="B342" s="24" t="s">
        <v>1601</v>
      </c>
      <c r="C342" s="90">
        <f>2.684-0.305</f>
        <v>2.379</v>
      </c>
      <c r="D342" s="422">
        <f t="shared" si="26"/>
        <v>2.379</v>
      </c>
      <c r="E342" s="422">
        <f t="shared" si="27"/>
        <v>0</v>
      </c>
      <c r="F342" s="25" t="s">
        <v>848</v>
      </c>
      <c r="G342" s="38" t="s">
        <v>1602</v>
      </c>
      <c r="H342" s="188"/>
      <c r="I342" s="326"/>
      <c r="J342" s="250">
        <v>2.379</v>
      </c>
      <c r="K342" s="135" t="s">
        <v>1603</v>
      </c>
      <c r="L342" s="136"/>
      <c r="M342" s="136"/>
      <c r="N342" s="137"/>
      <c r="O342" s="137"/>
      <c r="P342" s="137"/>
      <c r="Q342" s="137"/>
      <c r="R342" s="136">
        <v>0</v>
      </c>
      <c r="S342" s="136"/>
      <c r="T342" s="136"/>
      <c r="U342" s="136"/>
      <c r="V342" s="28"/>
      <c r="W342" s="29"/>
      <c r="X342" s="149">
        <v>2.379</v>
      </c>
      <c r="Y342" s="249" t="s">
        <v>1603</v>
      </c>
      <c r="Z342" s="313"/>
      <c r="AA342" s="32"/>
      <c r="AB342" s="32"/>
      <c r="AC342" s="35"/>
      <c r="AD342" s="32"/>
      <c r="AE342" s="34"/>
      <c r="AF342" s="34"/>
      <c r="AG342" s="34"/>
      <c r="AH342" s="34"/>
      <c r="AI342" s="35"/>
      <c r="AJ342" s="35"/>
      <c r="AK342" s="35"/>
      <c r="AL342" s="35"/>
      <c r="AM342" s="342"/>
      <c r="AN342" s="414"/>
      <c r="AO342" s="239"/>
      <c r="AP342" s="166"/>
      <c r="AQ342" s="167">
        <v>5</v>
      </c>
      <c r="AR342" s="168" t="s">
        <v>1</v>
      </c>
      <c r="AS342" s="169" t="s">
        <v>1</v>
      </c>
      <c r="AT342" s="156"/>
    </row>
    <row r="343" spans="1:56" ht="73.5" x14ac:dyDescent="0.2">
      <c r="A343" s="23" t="s">
        <v>1604</v>
      </c>
      <c r="B343" s="498" t="s">
        <v>1605</v>
      </c>
      <c r="C343" s="90">
        <f>66.946-36.213</f>
        <v>30.732999999999997</v>
      </c>
      <c r="D343" s="422">
        <f t="shared" si="26"/>
        <v>22.260999999999999</v>
      </c>
      <c r="E343" s="497">
        <f t="shared" si="27"/>
        <v>-8.4719999999999978</v>
      </c>
      <c r="F343" s="25" t="s">
        <v>731</v>
      </c>
      <c r="G343" s="26" t="s">
        <v>1606</v>
      </c>
      <c r="H343" s="188"/>
      <c r="I343" s="326"/>
      <c r="J343" s="250">
        <v>21.515000000000001</v>
      </c>
      <c r="K343" s="40" t="s">
        <v>1836</v>
      </c>
      <c r="L343" s="480">
        <v>12.5</v>
      </c>
      <c r="M343" s="62" t="s">
        <v>1687</v>
      </c>
      <c r="N343" s="63">
        <v>21</v>
      </c>
      <c r="O343" s="63">
        <v>0</v>
      </c>
      <c r="P343" s="63">
        <v>21</v>
      </c>
      <c r="Q343" s="63">
        <v>0</v>
      </c>
      <c r="R343" s="480">
        <v>9.6999999999999993</v>
      </c>
      <c r="S343" s="62" t="s">
        <v>1688</v>
      </c>
      <c r="T343" s="197"/>
      <c r="U343" s="197"/>
      <c r="V343" s="418"/>
      <c r="W343" s="418"/>
      <c r="X343" s="263"/>
      <c r="Y343" s="264"/>
      <c r="Z343" s="301">
        <v>0.746</v>
      </c>
      <c r="AA343" s="53" t="s">
        <v>1608</v>
      </c>
      <c r="AB343" s="53">
        <v>0.746</v>
      </c>
      <c r="AC343" s="53"/>
      <c r="AD343" s="53"/>
      <c r="AE343" s="55"/>
      <c r="AF343" s="55"/>
      <c r="AG343" s="55"/>
      <c r="AH343" s="55"/>
      <c r="AI343" s="56"/>
      <c r="AJ343" s="76"/>
      <c r="AK343" s="79"/>
      <c r="AL343" s="79"/>
      <c r="AM343" s="333"/>
      <c r="AN343" s="333"/>
      <c r="AO343" s="239"/>
      <c r="AP343" s="166">
        <v>22</v>
      </c>
      <c r="AQ343" s="167">
        <v>122</v>
      </c>
      <c r="AR343" s="168" t="s">
        <v>1</v>
      </c>
      <c r="AS343" s="169" t="s">
        <v>1</v>
      </c>
    </row>
    <row r="344" spans="1:56" ht="21.75" thickBot="1" x14ac:dyDescent="0.25">
      <c r="A344" s="506" t="s">
        <v>1609</v>
      </c>
      <c r="B344" s="507" t="s">
        <v>1610</v>
      </c>
      <c r="C344" s="421">
        <f>11.395-0.625</f>
        <v>10.77</v>
      </c>
      <c r="D344" s="422">
        <f t="shared" si="26"/>
        <v>10.66</v>
      </c>
      <c r="E344" s="497">
        <f t="shared" si="27"/>
        <v>-0.10999999999999943</v>
      </c>
      <c r="F344" s="138" t="s">
        <v>731</v>
      </c>
      <c r="G344" s="139"/>
      <c r="H344" s="190" t="s">
        <v>1611</v>
      </c>
      <c r="I344" s="331" t="s">
        <v>1610</v>
      </c>
      <c r="J344" s="275"/>
      <c r="K344" s="140"/>
      <c r="L344" s="141"/>
      <c r="M344" s="141"/>
      <c r="N344" s="142"/>
      <c r="O344" s="142"/>
      <c r="P344" s="142"/>
      <c r="Q344" s="142"/>
      <c r="R344" s="141"/>
      <c r="S344" s="141"/>
      <c r="T344" s="141"/>
      <c r="U344" s="141"/>
      <c r="V344" s="140"/>
      <c r="W344" s="140"/>
      <c r="X344" s="276"/>
      <c r="Y344" s="277"/>
      <c r="Z344" s="508">
        <v>10.66</v>
      </c>
      <c r="AA344" s="291" t="s">
        <v>1612</v>
      </c>
      <c r="AB344" s="314">
        <v>0</v>
      </c>
      <c r="AC344" s="315"/>
      <c r="AD344" s="314"/>
      <c r="AE344" s="315"/>
      <c r="AF344" s="315"/>
      <c r="AG344" s="315"/>
      <c r="AH344" s="315"/>
      <c r="AI344" s="477">
        <v>10.66</v>
      </c>
      <c r="AJ344" s="478" t="s">
        <v>1612</v>
      </c>
      <c r="AK344" s="479">
        <v>10.66</v>
      </c>
      <c r="AL344" s="478" t="s">
        <v>1612</v>
      </c>
      <c r="AM344" s="347">
        <v>10.66</v>
      </c>
      <c r="AN344" s="348" t="s">
        <v>1612</v>
      </c>
      <c r="AO344" s="242"/>
      <c r="AP344" s="180"/>
      <c r="AQ344" s="180">
        <v>0</v>
      </c>
      <c r="AR344" s="181" t="s">
        <v>60</v>
      </c>
      <c r="AS344" s="182" t="s">
        <v>33</v>
      </c>
      <c r="AV344" s="156">
        <v>80.500999999999834</v>
      </c>
      <c r="AW344" s="156">
        <v>949.42000000000007</v>
      </c>
    </row>
    <row r="345" spans="1:56" x14ac:dyDescent="0.2">
      <c r="J345" s="280" t="s">
        <v>1613</v>
      </c>
      <c r="K345" s="281"/>
      <c r="L345" s="282" t="s">
        <v>1614</v>
      </c>
      <c r="M345" s="281"/>
      <c r="N345" s="282" t="s">
        <v>1614</v>
      </c>
      <c r="O345" s="282" t="s">
        <v>1614</v>
      </c>
      <c r="P345" s="282" t="s">
        <v>1614</v>
      </c>
      <c r="Q345" s="282" t="s">
        <v>1614</v>
      </c>
      <c r="R345" s="282" t="s">
        <v>1613</v>
      </c>
      <c r="S345" s="282"/>
      <c r="T345" s="282" t="s">
        <v>1613</v>
      </c>
      <c r="U345" s="282"/>
      <c r="V345" s="282" t="s">
        <v>1613</v>
      </c>
      <c r="W345" s="282"/>
      <c r="X345" s="451" t="s">
        <v>1613</v>
      </c>
      <c r="Y345" s="452"/>
      <c r="Z345" s="568" t="s">
        <v>1613</v>
      </c>
      <c r="AA345" s="569"/>
      <c r="AB345" s="570" t="s">
        <v>1613</v>
      </c>
      <c r="AC345" s="571" t="s">
        <v>1613</v>
      </c>
      <c r="AD345" s="569"/>
      <c r="AE345" s="572" t="s">
        <v>1614</v>
      </c>
      <c r="AF345" s="572" t="s">
        <v>1614</v>
      </c>
      <c r="AG345" s="572" t="s">
        <v>1614</v>
      </c>
      <c r="AH345" s="572" t="s">
        <v>1614</v>
      </c>
      <c r="AI345" s="573" t="s">
        <v>1613</v>
      </c>
      <c r="AJ345" s="574"/>
      <c r="AK345" s="571" t="s">
        <v>1613</v>
      </c>
      <c r="AL345" s="574"/>
      <c r="AM345" s="575" t="s">
        <v>1613</v>
      </c>
      <c r="AN345" s="576"/>
      <c r="AP345" s="183" t="s">
        <v>1614</v>
      </c>
      <c r="AQ345" s="153" t="s">
        <v>1614</v>
      </c>
      <c r="AV345" s="156" t="s">
        <v>1615</v>
      </c>
      <c r="AW345" s="156">
        <v>979.62</v>
      </c>
    </row>
    <row r="346" spans="1:56" s="448" customFormat="1" x14ac:dyDescent="0.2">
      <c r="A346" s="436"/>
      <c r="B346" s="437"/>
      <c r="C346" s="437">
        <f>SUM(C3:C344)</f>
        <v>9377.2457999999915</v>
      </c>
      <c r="D346" s="437">
        <f>SUM(D3:D344)</f>
        <v>9055.4859999999935</v>
      </c>
      <c r="E346" s="437">
        <f>SUM(E3:E344)</f>
        <v>-321.75979999999998</v>
      </c>
      <c r="F346" s="437"/>
      <c r="G346" s="438"/>
      <c r="H346" s="439"/>
      <c r="I346" s="440"/>
      <c r="J346" s="441">
        <f>SUM(J3:J344)</f>
        <v>6701.5069999999969</v>
      </c>
      <c r="K346" s="442"/>
      <c r="L346" s="566">
        <f>SUM(L3:L344)</f>
        <v>1131.788</v>
      </c>
      <c r="M346" s="442"/>
      <c r="N346" s="443">
        <f>SUM(N3:N344)</f>
        <v>2867</v>
      </c>
      <c r="O346" s="443">
        <f>SUM(O3:O344)</f>
        <v>99</v>
      </c>
      <c r="P346" s="443">
        <f>SUM(P3:P344)</f>
        <v>644</v>
      </c>
      <c r="Q346" s="443">
        <f>SUM(Q3:Q344)</f>
        <v>304</v>
      </c>
      <c r="R346" s="566">
        <f>SUM(R3:R344)</f>
        <v>1624.2439999999999</v>
      </c>
      <c r="S346" s="443"/>
      <c r="T346" s="443">
        <f>SUM(T3:T344)</f>
        <v>216.34899999999999</v>
      </c>
      <c r="U346" s="443"/>
      <c r="V346" s="565">
        <f>SUM(V3:V344)</f>
        <v>3110.5300000000007</v>
      </c>
      <c r="W346" s="443"/>
      <c r="X346" s="564">
        <f>SUM(X3:X344)</f>
        <v>601.69400000000007</v>
      </c>
      <c r="Y346" s="453"/>
      <c r="Z346" s="577">
        <f>SUM(Z3:Z344)</f>
        <v>2353.9790000000012</v>
      </c>
      <c r="AA346" s="442"/>
      <c r="AB346" s="578">
        <f>SUM(AB3:AB344)</f>
        <v>734.79800000000012</v>
      </c>
      <c r="AC346" s="579">
        <f>SUM(AC3:AC344)</f>
        <v>603.87799999999993</v>
      </c>
      <c r="AD346" s="442"/>
      <c r="AE346" s="580">
        <f>SUM(AE3:AE344)</f>
        <v>1562</v>
      </c>
      <c r="AF346" s="580">
        <f>SUM(AF3:AF344)</f>
        <v>22</v>
      </c>
      <c r="AG346" s="580">
        <f>SUM(AG3:AG344)</f>
        <v>857</v>
      </c>
      <c r="AH346" s="580">
        <f>SUM(AH3:AH344)</f>
        <v>31</v>
      </c>
      <c r="AI346" s="579">
        <f>SUM(AI3:AI344)</f>
        <v>963.11250000000007</v>
      </c>
      <c r="AJ346" s="442"/>
      <c r="AK346" s="580">
        <f>SUM(AK3:AK344)</f>
        <v>399.84600000000006</v>
      </c>
      <c r="AL346" s="442"/>
      <c r="AM346" s="580">
        <f>SUM(AM3:AM344)</f>
        <v>1784.9549999999997</v>
      </c>
      <c r="AN346" s="262"/>
      <c r="AO346" s="183"/>
      <c r="AP346" s="439"/>
      <c r="AQ346" s="439"/>
      <c r="AR346" s="439"/>
      <c r="AS346" s="439"/>
      <c r="AT346" s="445"/>
      <c r="AU346" s="446"/>
      <c r="AV346" s="446" t="s">
        <v>1616</v>
      </c>
      <c r="AW346" s="446">
        <v>776.8</v>
      </c>
      <c r="AX346" s="446"/>
      <c r="AY346" s="447"/>
      <c r="AZ346" s="447"/>
      <c r="BA346" s="447"/>
      <c r="BB346" s="447"/>
      <c r="BC346" s="447"/>
      <c r="BD346" s="447"/>
    </row>
    <row r="347" spans="1:56" ht="21" x14ac:dyDescent="0.2">
      <c r="G347" s="321" t="s">
        <v>1642</v>
      </c>
      <c r="J347" s="285"/>
      <c r="K347" s="210"/>
      <c r="L347" s="211"/>
      <c r="M347" s="211"/>
      <c r="N347" s="211"/>
      <c r="O347" s="211"/>
      <c r="P347" s="211"/>
      <c r="Q347" s="211"/>
      <c r="R347" s="567">
        <f>L346+R346</f>
        <v>2756.0320000000002</v>
      </c>
      <c r="S347" s="211"/>
      <c r="T347" s="211"/>
      <c r="U347" s="211"/>
      <c r="V347" s="283"/>
      <c r="W347" s="283"/>
      <c r="X347" s="283"/>
      <c r="Y347" s="284"/>
      <c r="Z347" s="581"/>
      <c r="AA347" s="211"/>
      <c r="AB347" s="582"/>
      <c r="AC347" s="583">
        <f>AC346+AI346</f>
        <v>1566.9904999999999</v>
      </c>
      <c r="AD347" s="211"/>
      <c r="AE347" s="211"/>
      <c r="AF347" s="211"/>
      <c r="AG347" s="211"/>
      <c r="AH347" s="211"/>
      <c r="AI347" s="214"/>
      <c r="AJ347" s="211"/>
      <c r="AK347" s="211"/>
      <c r="AL347" s="211"/>
      <c r="AM347" s="283"/>
      <c r="AN347" s="262"/>
      <c r="AP347" s="183"/>
    </row>
    <row r="348" spans="1:56" ht="32.25" thickBot="1" x14ac:dyDescent="0.25">
      <c r="B348" s="1"/>
      <c r="C348" s="1"/>
      <c r="D348" s="1"/>
      <c r="E348" s="1"/>
      <c r="G348" s="321" t="s">
        <v>1643</v>
      </c>
      <c r="J348" s="286"/>
      <c r="K348" s="287"/>
      <c r="L348" s="288"/>
      <c r="M348" s="288"/>
      <c r="N348" s="288"/>
      <c r="O348" s="288"/>
      <c r="P348" s="288"/>
      <c r="Q348" s="288"/>
      <c r="R348" s="288"/>
      <c r="S348" s="288"/>
      <c r="T348" s="288"/>
      <c r="U348" s="288"/>
      <c r="V348" s="289"/>
      <c r="W348" s="289"/>
      <c r="X348" s="563">
        <f>X346+V346</f>
        <v>3712.2240000000006</v>
      </c>
      <c r="Y348" s="290"/>
      <c r="Z348" s="584"/>
      <c r="AA348" s="288"/>
      <c r="AB348" s="585">
        <f>AI346+AB346</f>
        <v>1697.9105000000002</v>
      </c>
      <c r="AC348" s="586"/>
      <c r="AD348" s="288"/>
      <c r="AE348" s="288"/>
      <c r="AF348" s="288"/>
      <c r="AG348" s="288"/>
      <c r="AH348" s="288"/>
      <c r="AI348" s="587"/>
      <c r="AJ348" s="288"/>
      <c r="AK348" s="288"/>
      <c r="AL348" s="288"/>
      <c r="AM348" s="289"/>
      <c r="AN348" s="588"/>
      <c r="AP348" s="183"/>
    </row>
    <row r="349" spans="1:56" ht="13.5" thickBot="1" x14ac:dyDescent="0.25">
      <c r="B349" s="1"/>
      <c r="C349" s="1"/>
      <c r="D349" s="1"/>
      <c r="E349" s="1"/>
      <c r="G349" s="332" t="s">
        <v>1622</v>
      </c>
      <c r="J349" s="322">
        <f>J346+Z346</f>
        <v>9055.4859999999971</v>
      </c>
      <c r="K349" s="144"/>
      <c r="L349" s="144"/>
      <c r="M349" s="144"/>
      <c r="N349" s="145"/>
      <c r="O349" s="145"/>
      <c r="P349" s="145"/>
      <c r="Q349" s="145"/>
      <c r="R349" s="144"/>
      <c r="S349" s="144"/>
      <c r="T349" s="144"/>
      <c r="U349" s="144"/>
      <c r="X349" s="562">
        <f>X348+AM346</f>
        <v>5497.1790000000001</v>
      </c>
      <c r="Z349" s="144"/>
      <c r="AA349" s="144"/>
      <c r="AB349" s="144"/>
      <c r="AC349" s="146"/>
      <c r="AD349" s="144"/>
      <c r="AE349" s="145"/>
      <c r="AF349" s="145"/>
      <c r="AG349" s="145"/>
      <c r="AH349" s="145"/>
      <c r="AI349" s="146"/>
      <c r="AJ349" s="146"/>
      <c r="AK349" s="146"/>
      <c r="AL349" s="146"/>
      <c r="AO349" s="185">
        <f>SUM(J346:AJ346)</f>
        <v>24427.879499999999</v>
      </c>
      <c r="AP349" s="184">
        <f>SUBTOTAL(9,AP3:AP344)</f>
        <v>2916</v>
      </c>
      <c r="AQ349" s="184">
        <f>SUBTOTAL(9,AQ3:AQ344)</f>
        <v>41817</v>
      </c>
      <c r="AS349" s="183"/>
      <c r="AV349" s="156" t="s">
        <v>1617</v>
      </c>
      <c r="AW349" s="156">
        <v>475.4</v>
      </c>
    </row>
    <row r="350" spans="1:56" ht="13.5" thickBot="1" x14ac:dyDescent="0.25">
      <c r="B350" s="1"/>
      <c r="C350" s="1"/>
      <c r="D350" s="1"/>
      <c r="E350" s="1"/>
      <c r="G350" s="321"/>
      <c r="I350" s="332" t="s">
        <v>1623</v>
      </c>
      <c r="J350" s="465">
        <v>9205</v>
      </c>
      <c r="L350"/>
      <c r="M350"/>
      <c r="N350"/>
      <c r="O350"/>
      <c r="P350"/>
      <c r="Q350"/>
      <c r="R350"/>
      <c r="S350"/>
      <c r="T350"/>
      <c r="U350"/>
      <c r="Z350" s="128"/>
      <c r="AA350" s="11"/>
      <c r="AB350"/>
      <c r="AC350"/>
      <c r="AD350"/>
      <c r="AE350"/>
      <c r="AF350"/>
      <c r="AG350"/>
      <c r="AH350"/>
      <c r="AI350" s="147"/>
      <c r="AJ350"/>
      <c r="AK350" s="147"/>
      <c r="AL350" s="147"/>
      <c r="AO350" s="243"/>
      <c r="AP350" s="153">
        <v>2500</v>
      </c>
      <c r="AQ350" s="153">
        <v>2500</v>
      </c>
      <c r="AS350" s="183"/>
      <c r="AV350" s="156" t="s">
        <v>1618</v>
      </c>
      <c r="AW350" s="156">
        <v>429</v>
      </c>
    </row>
    <row r="351" spans="1:56" x14ac:dyDescent="0.2">
      <c r="B351" s="1"/>
      <c r="C351" s="1"/>
      <c r="D351" s="1"/>
      <c r="E351" s="1"/>
      <c r="F351" s="1"/>
      <c r="G351" s="152"/>
      <c r="I351" s="323" t="s">
        <v>1624</v>
      </c>
      <c r="J351" s="127">
        <f>J350-J349</f>
        <v>149.51400000000285</v>
      </c>
      <c r="L351" s="4"/>
      <c r="R351" s="4"/>
      <c r="T351" s="4"/>
      <c r="U351" s="4"/>
      <c r="Z351" s="4"/>
      <c r="AB351" s="4"/>
      <c r="AO351" s="244"/>
      <c r="AP351" s="153">
        <f>AP349*AP350</f>
        <v>7290000</v>
      </c>
      <c r="AQ351" s="153">
        <f>AQ349*AQ350</f>
        <v>104542500</v>
      </c>
      <c r="AS351" s="183"/>
      <c r="AV351" s="156" t="s">
        <v>1619</v>
      </c>
      <c r="AW351" s="156">
        <v>362</v>
      </c>
    </row>
    <row r="352" spans="1:56" x14ac:dyDescent="0.2">
      <c r="J352" s="4"/>
      <c r="L352" s="4"/>
      <c r="R352" s="4"/>
      <c r="T352" s="4"/>
      <c r="U352" s="4"/>
      <c r="Z352" s="4"/>
      <c r="AB352" s="4"/>
      <c r="AO352" s="245"/>
      <c r="AS352" s="185"/>
      <c r="AV352" s="156" t="s">
        <v>24</v>
      </c>
      <c r="AW352" s="156">
        <v>322</v>
      </c>
    </row>
    <row r="353" spans="1:56" x14ac:dyDescent="0.2">
      <c r="L353" s="4"/>
      <c r="N353" s="10">
        <f>N354-O354</f>
        <v>2768</v>
      </c>
      <c r="R353" s="128">
        <f>R354+L354-T354</f>
        <v>2539.683</v>
      </c>
      <c r="T353" s="4"/>
      <c r="U353" s="4"/>
      <c r="V353" s="558"/>
      <c r="Z353" s="143">
        <f>Z354-AM354</f>
        <v>569.02400000000148</v>
      </c>
      <c r="AB353" s="4"/>
      <c r="AE353" s="10">
        <f>AE354-AF354</f>
        <v>1540</v>
      </c>
      <c r="AI353" s="128">
        <f>AI354+AC354-AK354</f>
        <v>1167.1444999999999</v>
      </c>
      <c r="AO353" s="246"/>
    </row>
    <row r="354" spans="1:56" s="435" customFormat="1" ht="13.5" thickBot="1" x14ac:dyDescent="0.25">
      <c r="A354" s="427"/>
      <c r="B354" s="457" t="s">
        <v>1774</v>
      </c>
      <c r="C354" s="2">
        <f>SUM(C3:C344)</f>
        <v>9377.2457999999915</v>
      </c>
      <c r="D354" s="2">
        <f>SUM(D3:D344)</f>
        <v>9055.4859999999935</v>
      </c>
      <c r="E354" s="2">
        <f>SUM(E3:E344)</f>
        <v>-321.75979999999998</v>
      </c>
      <c r="F354" s="428"/>
      <c r="G354" s="438">
        <f>J354+Z354</f>
        <v>9055.4859999999971</v>
      </c>
      <c r="H354" s="183"/>
      <c r="I354" s="323"/>
      <c r="J354" s="520">
        <f>SUM(J3:J344)</f>
        <v>6701.5069999999969</v>
      </c>
      <c r="K354" s="146"/>
      <c r="L354" s="460">
        <f t="shared" ref="L354:Z354" si="29">SUM(L3:L344)</f>
        <v>1131.788</v>
      </c>
      <c r="M354" s="146">
        <f t="shared" si="29"/>
        <v>0</v>
      </c>
      <c r="N354" s="429">
        <f t="shared" si="29"/>
        <v>2867</v>
      </c>
      <c r="O354" s="429">
        <f t="shared" si="29"/>
        <v>99</v>
      </c>
      <c r="P354" s="429">
        <f t="shared" si="29"/>
        <v>644</v>
      </c>
      <c r="Q354" s="429">
        <f t="shared" si="29"/>
        <v>304</v>
      </c>
      <c r="R354" s="460">
        <f t="shared" si="29"/>
        <v>1624.2439999999999</v>
      </c>
      <c r="S354" s="455">
        <f t="shared" si="29"/>
        <v>0</v>
      </c>
      <c r="T354" s="429">
        <f t="shared" si="29"/>
        <v>216.34899999999999</v>
      </c>
      <c r="U354" s="146">
        <f t="shared" si="29"/>
        <v>0</v>
      </c>
      <c r="V354" s="429">
        <f t="shared" si="29"/>
        <v>3110.5300000000007</v>
      </c>
      <c r="W354" s="146">
        <f t="shared" si="29"/>
        <v>0</v>
      </c>
      <c r="X354" s="429">
        <f t="shared" si="29"/>
        <v>601.69400000000007</v>
      </c>
      <c r="Y354" s="429">
        <f t="shared" si="29"/>
        <v>0</v>
      </c>
      <c r="Z354" s="528">
        <f t="shared" si="29"/>
        <v>2353.9790000000012</v>
      </c>
      <c r="AA354" s="146"/>
      <c r="AB354" s="444">
        <f>SUM(AB3:AB344)</f>
        <v>734.79800000000012</v>
      </c>
      <c r="AC354" s="460">
        <f>SUM(AC3:AC344)</f>
        <v>603.87799999999993</v>
      </c>
      <c r="AD354" s="455"/>
      <c r="AE354" s="444">
        <f>SUM(AE3:AE344)</f>
        <v>1562</v>
      </c>
      <c r="AF354" s="444">
        <f>SUM(AF3:AF344)</f>
        <v>22</v>
      </c>
      <c r="AG354" s="444">
        <f>SUM(AG3:AG344)</f>
        <v>857</v>
      </c>
      <c r="AH354" s="444">
        <f>SUM(AH3:AH344)</f>
        <v>31</v>
      </c>
      <c r="AI354" s="460">
        <f>SUM(AI3:AI344)</f>
        <v>963.11250000000007</v>
      </c>
      <c r="AJ354" s="146"/>
      <c r="AK354" s="444">
        <f>SUM(AK3:AK344)</f>
        <v>399.84600000000006</v>
      </c>
      <c r="AL354" s="146"/>
      <c r="AM354" s="444">
        <f>SUM(AM3:AM344)</f>
        <v>1784.9549999999997</v>
      </c>
      <c r="AN354" s="146">
        <f>SUM(AN3:AN344)</f>
        <v>0</v>
      </c>
      <c r="AO354" s="458"/>
      <c r="AP354" s="430"/>
      <c r="AQ354" s="430"/>
      <c r="AR354" s="431"/>
      <c r="AS354" s="431"/>
      <c r="AT354" s="432"/>
      <c r="AU354" s="433"/>
      <c r="AV354" s="433"/>
      <c r="AW354" s="433"/>
      <c r="AX354" s="433"/>
      <c r="AY354" s="434"/>
      <c r="AZ354" s="434"/>
      <c r="BA354" s="434"/>
      <c r="BB354" s="434"/>
      <c r="BC354" s="434"/>
      <c r="BD354" s="434"/>
    </row>
    <row r="355" spans="1:56" x14ac:dyDescent="0.2">
      <c r="B355" s="2" t="s">
        <v>1775</v>
      </c>
      <c r="C355" s="128">
        <f>SUBTOTAL(9,C3:C344)</f>
        <v>9377.2457999999915</v>
      </c>
      <c r="D355" s="128">
        <f>SUBTOTAL(9,D3:D344)</f>
        <v>9055.4859999999935</v>
      </c>
      <c r="E355" s="128">
        <f>SUBTOTAL(9,E3:E344)</f>
        <v>-321.75979999999998</v>
      </c>
      <c r="J355" s="425">
        <f>SUBTOTAL(9,J3:J344)</f>
        <v>6701.5069999999969</v>
      </c>
      <c r="K355" s="128"/>
      <c r="L355" s="425">
        <f t="shared" ref="L355:Z355" si="30">SUBTOTAL(9,L3:L344)</f>
        <v>1131.788</v>
      </c>
      <c r="M355" s="128">
        <f t="shared" si="30"/>
        <v>0</v>
      </c>
      <c r="N355" s="425">
        <f t="shared" si="30"/>
        <v>2867</v>
      </c>
      <c r="O355" s="425">
        <f t="shared" si="30"/>
        <v>99</v>
      </c>
      <c r="P355" s="425">
        <f t="shared" si="30"/>
        <v>644</v>
      </c>
      <c r="Q355" s="425">
        <f t="shared" si="30"/>
        <v>304</v>
      </c>
      <c r="R355" s="425">
        <f t="shared" si="30"/>
        <v>1624.2439999999999</v>
      </c>
      <c r="S355" s="454">
        <f t="shared" si="30"/>
        <v>0</v>
      </c>
      <c r="T355" s="425">
        <f t="shared" si="30"/>
        <v>216.34899999999999</v>
      </c>
      <c r="U355" s="128">
        <f t="shared" si="30"/>
        <v>0</v>
      </c>
      <c r="V355" s="425">
        <f t="shared" si="30"/>
        <v>3110.5300000000007</v>
      </c>
      <c r="W355" s="128">
        <f t="shared" si="30"/>
        <v>0</v>
      </c>
      <c r="X355" s="425">
        <f t="shared" si="30"/>
        <v>601.69400000000007</v>
      </c>
      <c r="Y355" s="128">
        <f t="shared" si="30"/>
        <v>0</v>
      </c>
      <c r="Z355" s="293">
        <f t="shared" si="30"/>
        <v>2353.9790000000012</v>
      </c>
      <c r="AA355" s="128"/>
      <c r="AB355" s="293">
        <f>SUBTOTAL(9,AB3:AB344)</f>
        <v>734.79800000000012</v>
      </c>
      <c r="AC355" s="293">
        <f>SUBTOTAL(9,AC3:AC344)</f>
        <v>603.87799999999993</v>
      </c>
      <c r="AD355" s="454"/>
      <c r="AE355" s="293">
        <f>SUBTOTAL(9,AE3:AE344)</f>
        <v>1562</v>
      </c>
      <c r="AF355" s="293">
        <f>SUBTOTAL(9,AF3:AF344)</f>
        <v>22</v>
      </c>
      <c r="AG355" s="293">
        <f>SUBTOTAL(9,AG3:AG344)</f>
        <v>857</v>
      </c>
      <c r="AH355" s="293">
        <f>SUBTOTAL(9,AH3:AH344)</f>
        <v>31</v>
      </c>
      <c r="AI355" s="293">
        <f>SUBTOTAL(9,AI3:AI344)</f>
        <v>963.11250000000007</v>
      </c>
      <c r="AK355" s="293">
        <f>SUBTOTAL(9,AK3:AK344)</f>
        <v>399.84600000000006</v>
      </c>
      <c r="AM355" s="293">
        <f>SUBTOTAL(9,AM3:AM344)</f>
        <v>1784.9549999999997</v>
      </c>
      <c r="AN355" s="128">
        <f>SUBTOTAL(9,AN3:AN344)</f>
        <v>0</v>
      </c>
    </row>
    <row r="356" spans="1:56" ht="21" x14ac:dyDescent="0.2">
      <c r="C356" s="128"/>
      <c r="D356" s="128"/>
      <c r="E356" s="128"/>
      <c r="G356" s="3" t="s">
        <v>1780</v>
      </c>
      <c r="J356" s="521"/>
      <c r="K356" s="128"/>
      <c r="L356" s="425"/>
      <c r="M356" s="460">
        <f>L354+R354</f>
        <v>2756.0320000000002</v>
      </c>
      <c r="N356" s="425"/>
      <c r="O356" s="425"/>
      <c r="P356" s="425"/>
      <c r="Q356" s="425"/>
      <c r="R356" s="425"/>
      <c r="S356" s="454"/>
      <c r="T356" s="425"/>
      <c r="V356" s="425"/>
      <c r="W356" s="128"/>
      <c r="X356" s="425"/>
      <c r="Y356" s="425"/>
      <c r="Z356" s="86"/>
      <c r="AA356" s="128"/>
      <c r="AB356" s="293"/>
      <c r="AC356" s="293"/>
      <c r="AD356" s="460">
        <f>AC354+AI354</f>
        <v>1566.9904999999999</v>
      </c>
      <c r="AE356" s="293"/>
      <c r="AF356" s="293"/>
      <c r="AG356" s="293"/>
      <c r="AH356" s="293"/>
      <c r="AI356" s="293"/>
      <c r="AK356" s="293"/>
      <c r="AM356" s="293"/>
      <c r="AN356" s="128"/>
    </row>
    <row r="357" spans="1:56" ht="21" x14ac:dyDescent="0.2">
      <c r="C357" s="128"/>
      <c r="D357" s="128"/>
      <c r="E357" s="128"/>
      <c r="G357" s="3" t="s">
        <v>1781</v>
      </c>
      <c r="J357" s="589">
        <f>J354+Z354</f>
        <v>9055.4859999999971</v>
      </c>
      <c r="K357" s="461"/>
      <c r="L357" s="461"/>
      <c r="M357" s="463">
        <f>M356+AD356</f>
        <v>4323.0225</v>
      </c>
      <c r="N357" s="463">
        <f>N354+AE354</f>
        <v>4429</v>
      </c>
      <c r="O357" s="463">
        <f>O354+AF354</f>
        <v>121</v>
      </c>
      <c r="P357" s="463">
        <f>P354+AG354</f>
        <v>1501</v>
      </c>
      <c r="Q357" s="463">
        <f>Q354+AH354</f>
        <v>335</v>
      </c>
      <c r="R357" s="462"/>
      <c r="S357" s="461"/>
      <c r="T357" s="463">
        <f>T354+AK354</f>
        <v>616.19500000000005</v>
      </c>
      <c r="U357" s="461"/>
      <c r="V357" s="455"/>
      <c r="W357" s="461"/>
      <c r="X357" s="463">
        <f>V346+X346+AM346</f>
        <v>5497.1790000000001</v>
      </c>
      <c r="Y357" s="461"/>
      <c r="Z357" s="522"/>
      <c r="AA357" s="461"/>
      <c r="AB357" s="461"/>
      <c r="AC357" s="461"/>
      <c r="AD357" s="461"/>
      <c r="AE357" s="461"/>
      <c r="AF357" s="461"/>
      <c r="AG357" s="461"/>
      <c r="AH357" s="461"/>
      <c r="AI357" s="461"/>
      <c r="AJ357" s="461"/>
      <c r="AK357" s="461"/>
      <c r="AL357" s="461"/>
      <c r="AM357" s="461"/>
      <c r="AN357" s="461"/>
    </row>
    <row r="358" spans="1:56" x14ac:dyDescent="0.2">
      <c r="S358" s="456"/>
      <c r="AD358" s="456"/>
    </row>
    <row r="359" spans="1:56" x14ac:dyDescent="0.2">
      <c r="J359" s="143">
        <f>SUBTOTAL(9,J3:J344)</f>
        <v>6701.5069999999969</v>
      </c>
      <c r="K359" s="128"/>
      <c r="L359" s="128">
        <f t="shared" ref="L359:R359" si="31">SUBTOTAL(9,L3:L344)</f>
        <v>1131.788</v>
      </c>
      <c r="M359" s="128">
        <f t="shared" si="31"/>
        <v>0</v>
      </c>
      <c r="N359" s="128">
        <f t="shared" si="31"/>
        <v>2867</v>
      </c>
      <c r="O359" s="128">
        <f t="shared" si="31"/>
        <v>99</v>
      </c>
      <c r="P359" s="128">
        <f t="shared" si="31"/>
        <v>644</v>
      </c>
      <c r="Q359" s="128">
        <f t="shared" si="31"/>
        <v>304</v>
      </c>
      <c r="R359" s="128">
        <f t="shared" si="31"/>
        <v>1624.2439999999999</v>
      </c>
      <c r="S359" s="128"/>
      <c r="T359" s="128">
        <f>SUBTOTAL(9,T3:T344)</f>
        <v>216.34899999999999</v>
      </c>
      <c r="V359" s="128">
        <f>SUBTOTAL(9,V3:V344)</f>
        <v>3110.5300000000007</v>
      </c>
      <c r="W359" s="128"/>
      <c r="X359" s="128">
        <f>SUBTOTAL(9,X3:X344)</f>
        <v>601.69400000000007</v>
      </c>
      <c r="Y359" s="128">
        <f>SUBTOTAL(9,Y3:Y344)</f>
        <v>0</v>
      </c>
      <c r="Z359" s="143">
        <f>SUBTOTAL(9,Z3:Z344)</f>
        <v>2353.9790000000012</v>
      </c>
      <c r="AA359" s="128"/>
      <c r="AB359" s="128">
        <f>SUBTOTAL(9,AB3:AB344)</f>
        <v>734.79800000000012</v>
      </c>
      <c r="AC359" s="128">
        <f>SUBTOTAL(9,AC3:AC344)</f>
        <v>603.87799999999993</v>
      </c>
      <c r="AD359" s="128"/>
      <c r="AE359" s="128">
        <f>SUBTOTAL(9,AE3:AE344)</f>
        <v>1562</v>
      </c>
      <c r="AF359" s="128">
        <f>SUBTOTAL(9,AF3:AF344)</f>
        <v>22</v>
      </c>
      <c r="AG359" s="128">
        <f>SUBTOTAL(9,AG3:AG344)</f>
        <v>857</v>
      </c>
      <c r="AH359" s="128">
        <f>SUBTOTAL(9,AH3:AH344)</f>
        <v>31</v>
      </c>
      <c r="AI359" s="128">
        <f>SUBTOTAL(9,AI3:AI344)</f>
        <v>963.11250000000007</v>
      </c>
      <c r="AK359" s="128">
        <f>SUBTOTAL(9,AK3:AK344)</f>
        <v>399.84600000000006</v>
      </c>
      <c r="AM359" s="128">
        <f>SUBTOTAL(9,AM3:AM344)</f>
        <v>1784.9549999999997</v>
      </c>
      <c r="AN359" s="128">
        <f>SUBTOTAL(9,AN3:AN344)</f>
        <v>0</v>
      </c>
    </row>
    <row r="360" spans="1:56" ht="13.5" thickBot="1" x14ac:dyDescent="0.25">
      <c r="F360" s="510" t="s">
        <v>731</v>
      </c>
      <c r="J360" s="523">
        <v>257.29000000000002</v>
      </c>
      <c r="L360" s="504">
        <v>122.44999999999999</v>
      </c>
      <c r="M360" s="128"/>
      <c r="N360" s="505">
        <v>180</v>
      </c>
      <c r="O360" s="426">
        <v>0</v>
      </c>
      <c r="P360" s="505">
        <v>144</v>
      </c>
      <c r="Q360" s="505">
        <v>8</v>
      </c>
      <c r="R360" s="504">
        <v>61.905000000000015</v>
      </c>
      <c r="S360" s="456"/>
      <c r="T360" s="504">
        <v>28.289000000000023</v>
      </c>
      <c r="U360" s="454"/>
      <c r="V360" s="449">
        <v>3.2509999999999994</v>
      </c>
      <c r="W360" s="201"/>
      <c r="X360" s="509">
        <v>165.41800000000001</v>
      </c>
      <c r="Y360" s="449">
        <v>0</v>
      </c>
      <c r="Z360" s="86">
        <v>459.19600000000008</v>
      </c>
      <c r="AB360" s="293">
        <v>175.55100000000002</v>
      </c>
      <c r="AC360" s="293">
        <v>163.518</v>
      </c>
      <c r="AD360" s="454"/>
      <c r="AE360" s="292">
        <v>419</v>
      </c>
      <c r="AF360" s="292">
        <v>0</v>
      </c>
      <c r="AG360" s="292">
        <v>326</v>
      </c>
      <c r="AH360" s="292">
        <v>1</v>
      </c>
      <c r="AI360" s="293">
        <v>121.277</v>
      </c>
      <c r="AK360" s="293">
        <v>102.05599999999998</v>
      </c>
      <c r="AM360" s="509">
        <v>371.2600000000001</v>
      </c>
      <c r="AN360" s="201">
        <v>0</v>
      </c>
    </row>
    <row r="361" spans="1:56" x14ac:dyDescent="0.2">
      <c r="F361" s="501" t="s">
        <v>1149</v>
      </c>
      <c r="H361" s="183">
        <v>4.6459999999999937</v>
      </c>
      <c r="I361" s="323">
        <v>0</v>
      </c>
      <c r="J361" s="523">
        <v>4.6459999999999937</v>
      </c>
      <c r="L361" s="425">
        <v>0</v>
      </c>
      <c r="M361" s="128"/>
      <c r="N361" s="426">
        <v>0</v>
      </c>
      <c r="O361" s="426">
        <v>0</v>
      </c>
      <c r="P361" s="426">
        <v>0</v>
      </c>
      <c r="Q361" s="426">
        <v>0</v>
      </c>
      <c r="R361" s="504">
        <v>2.3229999999999968</v>
      </c>
      <c r="S361" s="456"/>
      <c r="T361" s="425">
        <v>0</v>
      </c>
      <c r="U361" s="454"/>
      <c r="V361" s="449">
        <v>0</v>
      </c>
      <c r="W361" s="201"/>
      <c r="X361" s="449">
        <v>0</v>
      </c>
      <c r="Y361" s="449">
        <v>0</v>
      </c>
      <c r="Z361" s="523">
        <v>63.776000000000003</v>
      </c>
      <c r="AB361" s="293">
        <v>59.91</v>
      </c>
      <c r="AC361" s="293">
        <v>7.7</v>
      </c>
      <c r="AD361" s="454"/>
      <c r="AE361" s="292">
        <v>13</v>
      </c>
      <c r="AF361" s="292">
        <v>0</v>
      </c>
      <c r="AG361" s="292">
        <v>0</v>
      </c>
      <c r="AH361" s="292">
        <v>1</v>
      </c>
      <c r="AI361" s="293">
        <v>29.954999999999998</v>
      </c>
      <c r="AK361" s="293">
        <v>0</v>
      </c>
      <c r="AM361" s="202">
        <v>68.722000000000008</v>
      </c>
      <c r="AN361" s="201">
        <v>0</v>
      </c>
    </row>
    <row r="362" spans="1:56" x14ac:dyDescent="0.2">
      <c r="F362" s="501" t="s">
        <v>1365</v>
      </c>
      <c r="J362" s="521">
        <v>71.356999999999999</v>
      </c>
      <c r="L362" s="425">
        <v>0</v>
      </c>
      <c r="M362" s="128"/>
      <c r="N362" s="426">
        <v>0</v>
      </c>
      <c r="O362" s="426">
        <v>0</v>
      </c>
      <c r="P362" s="426">
        <v>0</v>
      </c>
      <c r="Q362" s="426">
        <v>0</v>
      </c>
      <c r="R362" s="504">
        <v>45.257000000000005</v>
      </c>
      <c r="S362" s="456"/>
      <c r="T362" s="504">
        <v>45.256999999999998</v>
      </c>
      <c r="U362" s="454"/>
      <c r="V362" s="509">
        <v>26.257000000000001</v>
      </c>
      <c r="W362" s="201"/>
      <c r="X362" s="509">
        <v>45.1</v>
      </c>
      <c r="Y362" s="449">
        <v>0</v>
      </c>
      <c r="Z362" s="523">
        <v>279.92599999999999</v>
      </c>
      <c r="AB362" s="293">
        <v>196.399</v>
      </c>
      <c r="AC362" s="293">
        <v>38.6</v>
      </c>
      <c r="AD362" s="454"/>
      <c r="AE362" s="292">
        <v>25</v>
      </c>
      <c r="AF362" s="292">
        <v>3</v>
      </c>
      <c r="AG362" s="292">
        <v>28</v>
      </c>
      <c r="AH362" s="292">
        <v>4</v>
      </c>
      <c r="AI362" s="293">
        <v>79.600000000000009</v>
      </c>
      <c r="AK362" s="293">
        <v>29.8</v>
      </c>
      <c r="AM362" s="202">
        <v>279.92599999999999</v>
      </c>
    </row>
    <row r="363" spans="1:56" x14ac:dyDescent="0.2">
      <c r="F363" s="511" t="s">
        <v>989</v>
      </c>
      <c r="J363" s="523">
        <v>140.19699999999997</v>
      </c>
      <c r="L363" s="425">
        <v>0</v>
      </c>
      <c r="M363" s="128"/>
      <c r="N363" s="426">
        <v>0</v>
      </c>
      <c r="O363" s="426">
        <v>0</v>
      </c>
      <c r="P363" s="426">
        <v>0</v>
      </c>
      <c r="Q363" s="426">
        <v>0</v>
      </c>
      <c r="R363" s="504">
        <v>36.383000000000003</v>
      </c>
      <c r="S363" s="456"/>
      <c r="T363" s="425">
        <v>0</v>
      </c>
      <c r="U363" s="454"/>
      <c r="V363" s="449">
        <v>10.35</v>
      </c>
      <c r="W363" s="201"/>
      <c r="X363" s="509">
        <v>77.327999999999989</v>
      </c>
      <c r="Y363" s="449">
        <v>0</v>
      </c>
      <c r="Z363" s="86">
        <v>71.683999999999997</v>
      </c>
      <c r="AB363" s="293">
        <v>28.285</v>
      </c>
      <c r="AC363" s="293">
        <v>20</v>
      </c>
      <c r="AD363" s="454"/>
      <c r="AE363" s="292">
        <v>28</v>
      </c>
      <c r="AF363" s="292">
        <v>0</v>
      </c>
      <c r="AG363" s="292">
        <v>12</v>
      </c>
      <c r="AH363" s="292">
        <v>2</v>
      </c>
      <c r="AI363" s="293">
        <v>51.701000000000001</v>
      </c>
      <c r="AK363" s="293">
        <v>22.050999999999998</v>
      </c>
      <c r="AM363" s="202">
        <v>124.20500000000001</v>
      </c>
    </row>
    <row r="364" spans="1:56" x14ac:dyDescent="0.2">
      <c r="F364" s="512" t="s">
        <v>713</v>
      </c>
      <c r="J364" s="521">
        <v>55.655000000000001</v>
      </c>
      <c r="L364" s="425">
        <v>14.8</v>
      </c>
      <c r="M364" s="128"/>
      <c r="N364" s="426">
        <v>31</v>
      </c>
      <c r="O364" s="426">
        <v>1</v>
      </c>
      <c r="P364" s="426">
        <v>0</v>
      </c>
      <c r="Q364" s="426">
        <v>0</v>
      </c>
      <c r="R364" s="425">
        <v>2.4399999999999977</v>
      </c>
      <c r="S364" s="456"/>
      <c r="T364" s="425">
        <v>0</v>
      </c>
      <c r="U364" s="454"/>
      <c r="V364" s="449">
        <v>55.655000000000001</v>
      </c>
      <c r="W364" s="201"/>
      <c r="X364" s="449">
        <v>0</v>
      </c>
      <c r="Y364" s="449">
        <v>0</v>
      </c>
      <c r="Z364" s="86">
        <v>153.43300000000002</v>
      </c>
      <c r="AB364" s="293">
        <v>79.533000000000001</v>
      </c>
      <c r="AC364" s="293">
        <v>60.8</v>
      </c>
      <c r="AD364" s="454"/>
      <c r="AE364" s="292">
        <v>143</v>
      </c>
      <c r="AF364" s="292">
        <v>0</v>
      </c>
      <c r="AG364" s="292">
        <v>143</v>
      </c>
      <c r="AH364" s="292">
        <v>11</v>
      </c>
      <c r="AI364" s="293">
        <v>13.1</v>
      </c>
      <c r="AK364" s="293">
        <v>13.1</v>
      </c>
      <c r="AM364" s="202">
        <v>153.43300000000002</v>
      </c>
    </row>
    <row r="365" spans="1:56" x14ac:dyDescent="0.2">
      <c r="F365" s="501" t="s">
        <v>210</v>
      </c>
      <c r="J365" s="523">
        <v>355.7</v>
      </c>
      <c r="L365" s="425">
        <v>228.35699999999997</v>
      </c>
      <c r="M365" s="128"/>
      <c r="N365" s="426">
        <v>1111</v>
      </c>
      <c r="O365" s="426">
        <v>0</v>
      </c>
      <c r="P365" s="426">
        <v>32</v>
      </c>
      <c r="Q365" s="426">
        <v>108</v>
      </c>
      <c r="R365" s="425">
        <v>63.718499999999992</v>
      </c>
      <c r="S365" s="456"/>
      <c r="T365" s="425">
        <v>0</v>
      </c>
      <c r="U365" s="454"/>
      <c r="V365" s="449">
        <v>0</v>
      </c>
      <c r="W365" s="201"/>
      <c r="X365" s="449">
        <v>0</v>
      </c>
      <c r="Y365" s="449">
        <v>0</v>
      </c>
      <c r="Z365" s="523">
        <v>170.726</v>
      </c>
      <c r="AB365" s="504">
        <v>86.448000000000008</v>
      </c>
      <c r="AC365" s="293">
        <v>18.808</v>
      </c>
      <c r="AD365" s="454"/>
      <c r="AE365" s="292">
        <v>100</v>
      </c>
      <c r="AF365" s="292">
        <v>0</v>
      </c>
      <c r="AG365" s="292">
        <v>10</v>
      </c>
      <c r="AH365" s="292">
        <v>1</v>
      </c>
      <c r="AI365" s="504">
        <v>118.9265</v>
      </c>
      <c r="AK365" s="293">
        <v>57.207000000000001</v>
      </c>
      <c r="AM365" s="202">
        <v>0</v>
      </c>
    </row>
    <row r="366" spans="1:56" x14ac:dyDescent="0.2">
      <c r="F366" s="501" t="s">
        <v>1133</v>
      </c>
      <c r="J366" s="523">
        <v>52.121000000000002</v>
      </c>
      <c r="L366" s="425">
        <v>47.3</v>
      </c>
      <c r="M366" s="128"/>
      <c r="N366" s="426">
        <v>81</v>
      </c>
      <c r="O366" s="426">
        <v>0</v>
      </c>
      <c r="P366" s="426">
        <v>5</v>
      </c>
      <c r="Q366" s="426">
        <v>5</v>
      </c>
      <c r="R366" s="425">
        <v>0</v>
      </c>
      <c r="S366" s="456"/>
      <c r="T366" s="425">
        <v>0</v>
      </c>
      <c r="U366" s="454"/>
      <c r="V366" s="449">
        <v>47.720999999999997</v>
      </c>
      <c r="W366" s="201"/>
      <c r="X366" s="449">
        <v>0</v>
      </c>
      <c r="Y366" s="449">
        <v>0</v>
      </c>
      <c r="Z366" s="86">
        <v>40.15</v>
      </c>
      <c r="AB366" s="293">
        <v>38.25</v>
      </c>
      <c r="AC366" s="293">
        <v>0</v>
      </c>
      <c r="AD366" s="454"/>
      <c r="AE366" s="292">
        <v>0</v>
      </c>
      <c r="AF366" s="292">
        <v>0</v>
      </c>
      <c r="AG366" s="292">
        <v>0</v>
      </c>
      <c r="AH366" s="292">
        <v>0</v>
      </c>
      <c r="AI366" s="293">
        <v>1.9</v>
      </c>
      <c r="AK366" s="293">
        <v>1.9</v>
      </c>
      <c r="AM366" s="202">
        <v>40.15</v>
      </c>
    </row>
    <row r="367" spans="1:56" x14ac:dyDescent="0.2">
      <c r="F367" s="501" t="s">
        <v>163</v>
      </c>
      <c r="J367" s="523">
        <v>192.96800000000002</v>
      </c>
      <c r="L367" s="425">
        <v>0</v>
      </c>
      <c r="M367" s="128"/>
      <c r="N367" s="426">
        <v>0</v>
      </c>
      <c r="O367" s="426">
        <v>0</v>
      </c>
      <c r="P367" s="426">
        <v>0</v>
      </c>
      <c r="Q367" s="426">
        <v>0</v>
      </c>
      <c r="R367" s="425">
        <v>95.366500000000002</v>
      </c>
      <c r="S367" s="456"/>
      <c r="T367" s="425">
        <v>0</v>
      </c>
      <c r="U367" s="454"/>
      <c r="V367" s="449">
        <v>190.733</v>
      </c>
      <c r="W367" s="201"/>
      <c r="X367" s="449">
        <v>0</v>
      </c>
      <c r="Y367" s="449">
        <v>0</v>
      </c>
      <c r="Z367" s="86">
        <v>40.840000000000003</v>
      </c>
      <c r="AB367" s="293">
        <v>40.840000000000003</v>
      </c>
      <c r="AC367" s="293">
        <v>0</v>
      </c>
      <c r="AD367" s="454"/>
      <c r="AE367" s="292">
        <v>0</v>
      </c>
      <c r="AF367" s="292">
        <v>0</v>
      </c>
      <c r="AG367" s="292">
        <v>0</v>
      </c>
      <c r="AH367" s="292">
        <v>0</v>
      </c>
      <c r="AI367" s="293">
        <v>40.840000000000003</v>
      </c>
      <c r="AK367" s="293">
        <v>13.074999999999999</v>
      </c>
      <c r="AM367" s="202">
        <v>40.840000000000003</v>
      </c>
    </row>
    <row r="368" spans="1:56" x14ac:dyDescent="0.2">
      <c r="F368" s="501" t="s">
        <v>221</v>
      </c>
      <c r="J368" s="523">
        <v>177.8</v>
      </c>
      <c r="L368" s="425">
        <v>0</v>
      </c>
      <c r="M368" s="128"/>
      <c r="N368" s="426">
        <v>0</v>
      </c>
      <c r="O368" s="426">
        <v>0</v>
      </c>
      <c r="P368" s="426">
        <v>0</v>
      </c>
      <c r="Q368" s="426">
        <v>0</v>
      </c>
      <c r="R368" s="425">
        <v>90.2</v>
      </c>
      <c r="S368" s="456"/>
      <c r="T368" s="425">
        <v>0</v>
      </c>
      <c r="U368" s="454"/>
      <c r="V368" s="449">
        <v>0</v>
      </c>
      <c r="W368" s="201"/>
      <c r="X368" s="449">
        <v>0</v>
      </c>
      <c r="Y368" s="449">
        <v>0</v>
      </c>
      <c r="Z368" s="86">
        <v>6.4020000000000001</v>
      </c>
      <c r="AB368" s="293">
        <v>0</v>
      </c>
      <c r="AC368" s="293">
        <v>0</v>
      </c>
      <c r="AD368" s="454"/>
      <c r="AE368" s="292">
        <v>0</v>
      </c>
      <c r="AF368" s="292">
        <v>0</v>
      </c>
      <c r="AG368" s="292">
        <v>0</v>
      </c>
      <c r="AH368" s="292">
        <v>0</v>
      </c>
      <c r="AI368" s="293">
        <v>6.4020000000000001</v>
      </c>
      <c r="AK368" s="293">
        <v>1.9570000000000001</v>
      </c>
      <c r="AM368" s="202">
        <v>0</v>
      </c>
    </row>
    <row r="369" spans="1:56" x14ac:dyDescent="0.2">
      <c r="F369" s="501" t="s">
        <v>811</v>
      </c>
      <c r="J369" s="523">
        <v>308.25</v>
      </c>
      <c r="L369" s="504">
        <v>22.4</v>
      </c>
      <c r="M369" s="128"/>
      <c r="N369" s="426">
        <v>22</v>
      </c>
      <c r="O369" s="426">
        <v>0</v>
      </c>
      <c r="P369" s="426">
        <v>16</v>
      </c>
      <c r="Q369" s="426">
        <v>0</v>
      </c>
      <c r="R369" s="504">
        <v>167.18600000000001</v>
      </c>
      <c r="S369" s="456"/>
      <c r="T369" s="425">
        <v>114.06099999999996</v>
      </c>
      <c r="U369" s="454"/>
      <c r="V369" s="449">
        <v>301.52900000000005</v>
      </c>
      <c r="W369" s="201"/>
      <c r="X369" s="449">
        <v>0</v>
      </c>
      <c r="Y369" s="449">
        <v>0</v>
      </c>
      <c r="Z369" s="86">
        <v>262.44799999999998</v>
      </c>
      <c r="AB369" s="293">
        <v>26.197000000000003</v>
      </c>
      <c r="AC369" s="293">
        <v>89.575999999999993</v>
      </c>
      <c r="AD369" s="454"/>
      <c r="AE369" s="292">
        <v>140</v>
      </c>
      <c r="AF369" s="292">
        <v>19</v>
      </c>
      <c r="AG369" s="292">
        <v>70</v>
      </c>
      <c r="AH369" s="292">
        <v>3</v>
      </c>
      <c r="AI369" s="504">
        <v>136.93200000000002</v>
      </c>
      <c r="AK369" s="504">
        <v>80.400000000000006</v>
      </c>
      <c r="AM369" s="509">
        <v>260.51</v>
      </c>
    </row>
    <row r="370" spans="1:56" x14ac:dyDescent="0.2">
      <c r="F370" s="501" t="s">
        <v>1198</v>
      </c>
      <c r="J370" s="523">
        <v>176.86899999999997</v>
      </c>
      <c r="L370" s="425">
        <v>81.47999999999999</v>
      </c>
      <c r="M370" s="128"/>
      <c r="N370" s="426">
        <v>228</v>
      </c>
      <c r="O370" s="426">
        <v>0</v>
      </c>
      <c r="P370" s="426">
        <v>30</v>
      </c>
      <c r="Q370" s="426">
        <v>9</v>
      </c>
      <c r="R370" s="504">
        <v>28.742000000000001</v>
      </c>
      <c r="S370" s="456"/>
      <c r="T370" s="504">
        <v>28.742000000000001</v>
      </c>
      <c r="U370" s="454"/>
      <c r="V370" s="509">
        <v>67.463999999999999</v>
      </c>
      <c r="W370" s="201"/>
      <c r="X370" s="449">
        <v>109.405</v>
      </c>
      <c r="Y370" s="449">
        <v>0</v>
      </c>
      <c r="Z370" s="523">
        <v>70.542000000000002</v>
      </c>
      <c r="AB370" s="504">
        <v>42.317999999999998</v>
      </c>
      <c r="AC370" s="293">
        <v>26.350000000000009</v>
      </c>
      <c r="AD370" s="454"/>
      <c r="AE370" s="292">
        <v>35</v>
      </c>
      <c r="AF370" s="292">
        <v>0</v>
      </c>
      <c r="AG370" s="292">
        <v>11</v>
      </c>
      <c r="AH370" s="292">
        <v>0</v>
      </c>
      <c r="AI370" s="293">
        <v>0</v>
      </c>
      <c r="AK370" s="293">
        <v>0</v>
      </c>
      <c r="AM370" s="509">
        <v>63.642000000000003</v>
      </c>
    </row>
    <row r="371" spans="1:56" x14ac:dyDescent="0.2">
      <c r="F371" s="501" t="s">
        <v>800</v>
      </c>
      <c r="J371" s="523">
        <v>39.408999999999999</v>
      </c>
      <c r="L371" s="425">
        <v>0</v>
      </c>
      <c r="M371" s="128"/>
      <c r="N371" s="426">
        <v>0</v>
      </c>
      <c r="O371" s="426">
        <v>0</v>
      </c>
      <c r="P371" s="426">
        <v>0</v>
      </c>
      <c r="Q371" s="426">
        <v>0</v>
      </c>
      <c r="R371" s="504">
        <v>20.149999999999999</v>
      </c>
      <c r="S371" s="456"/>
      <c r="T371" s="425">
        <v>0</v>
      </c>
      <c r="U371" s="454"/>
      <c r="V371" s="509">
        <v>29.064</v>
      </c>
      <c r="W371" s="201"/>
      <c r="X371" s="449">
        <v>0</v>
      </c>
      <c r="Y371" s="449">
        <v>0</v>
      </c>
      <c r="Z371" s="523">
        <v>60.096999999999994</v>
      </c>
      <c r="AB371" s="504">
        <v>13.166</v>
      </c>
      <c r="AC371" s="293">
        <v>0</v>
      </c>
      <c r="AD371" s="454"/>
      <c r="AE371" s="292">
        <v>0</v>
      </c>
      <c r="AF371" s="292">
        <v>0</v>
      </c>
      <c r="AG371" s="292">
        <v>0</v>
      </c>
      <c r="AH371" s="292">
        <v>0</v>
      </c>
      <c r="AI371" s="504">
        <v>57.030999999999999</v>
      </c>
      <c r="AK371" s="293">
        <v>0</v>
      </c>
      <c r="AM371" s="509">
        <v>60.096999999999994</v>
      </c>
    </row>
    <row r="372" spans="1:56" x14ac:dyDescent="0.2">
      <c r="F372" s="501" t="s">
        <v>848</v>
      </c>
      <c r="J372" s="523">
        <v>221.79499999999999</v>
      </c>
      <c r="L372" s="425">
        <v>23</v>
      </c>
      <c r="M372" s="128"/>
      <c r="N372" s="426">
        <v>26</v>
      </c>
      <c r="O372" s="426">
        <v>0</v>
      </c>
      <c r="P372" s="426">
        <v>17</v>
      </c>
      <c r="Q372" s="426">
        <v>0</v>
      </c>
      <c r="R372" s="425">
        <v>60.054999999999993</v>
      </c>
      <c r="S372" s="456"/>
      <c r="T372" s="425">
        <v>0</v>
      </c>
      <c r="U372" s="454"/>
      <c r="V372" s="509">
        <v>12.551999999999987</v>
      </c>
      <c r="W372" s="201"/>
      <c r="X372" s="509">
        <v>204.44299999999998</v>
      </c>
      <c r="Y372" s="449">
        <v>0</v>
      </c>
      <c r="Z372" s="523">
        <v>242.60600000000002</v>
      </c>
      <c r="AB372" s="504">
        <v>89.736999999999995</v>
      </c>
      <c r="AC372" s="293">
        <v>82.133999999999986</v>
      </c>
      <c r="AD372" s="454"/>
      <c r="AE372" s="292">
        <v>135</v>
      </c>
      <c r="AF372" s="292">
        <v>0</v>
      </c>
      <c r="AG372" s="292">
        <v>78</v>
      </c>
      <c r="AH372" s="292">
        <v>0</v>
      </c>
      <c r="AI372" s="504">
        <v>50.874000000000024</v>
      </c>
      <c r="AK372" s="293">
        <v>0</v>
      </c>
      <c r="AM372" s="202">
        <v>222.309</v>
      </c>
    </row>
    <row r="373" spans="1:56" x14ac:dyDescent="0.2">
      <c r="F373" s="501" t="s">
        <v>627</v>
      </c>
      <c r="J373" s="523">
        <v>858.44899999999973</v>
      </c>
      <c r="L373" s="425">
        <v>114.16</v>
      </c>
      <c r="M373" s="128"/>
      <c r="N373" s="426">
        <v>96</v>
      </c>
      <c r="O373" s="426">
        <v>0</v>
      </c>
      <c r="P373" s="426">
        <v>77</v>
      </c>
      <c r="Q373" s="426">
        <v>151</v>
      </c>
      <c r="R373" s="425">
        <v>447.911</v>
      </c>
      <c r="S373" s="456"/>
      <c r="T373" s="425">
        <v>0</v>
      </c>
      <c r="U373" s="454"/>
      <c r="V373" s="449">
        <v>279.08</v>
      </c>
      <c r="W373" s="201"/>
      <c r="X373" s="449">
        <v>0</v>
      </c>
      <c r="Y373" s="449">
        <v>0</v>
      </c>
      <c r="Z373" s="523">
        <v>74.668999999999997</v>
      </c>
      <c r="AB373" s="293">
        <v>0.35199999999999998</v>
      </c>
      <c r="AC373" s="293">
        <v>33.192</v>
      </c>
      <c r="AD373" s="454"/>
      <c r="AE373" s="292">
        <v>184</v>
      </c>
      <c r="AF373" s="292">
        <v>0</v>
      </c>
      <c r="AG373" s="292">
        <v>46</v>
      </c>
      <c r="AH373" s="292">
        <v>0</v>
      </c>
      <c r="AI373" s="293">
        <v>26.81</v>
      </c>
      <c r="AK373" s="293">
        <v>0</v>
      </c>
      <c r="AM373" s="202">
        <v>10.8</v>
      </c>
    </row>
    <row r="374" spans="1:56" x14ac:dyDescent="0.2">
      <c r="F374" s="501" t="s">
        <v>1203</v>
      </c>
      <c r="J374" s="523">
        <v>8.414999999999992</v>
      </c>
      <c r="L374" s="425">
        <v>0</v>
      </c>
      <c r="M374" s="128"/>
      <c r="N374" s="426">
        <v>0</v>
      </c>
      <c r="O374" s="426">
        <v>0</v>
      </c>
      <c r="P374" s="426">
        <v>0</v>
      </c>
      <c r="Q374" s="426">
        <v>0</v>
      </c>
      <c r="R374" s="425">
        <v>15</v>
      </c>
      <c r="S374" s="456"/>
      <c r="T374" s="425">
        <v>0</v>
      </c>
      <c r="U374" s="454"/>
      <c r="V374" s="449">
        <v>0</v>
      </c>
      <c r="W374" s="201"/>
      <c r="X374" s="449">
        <v>0</v>
      </c>
      <c r="Y374" s="449">
        <v>0</v>
      </c>
      <c r="Z374" s="86">
        <v>78.300000000000011</v>
      </c>
      <c r="AB374" s="504">
        <v>25.1</v>
      </c>
      <c r="AC374" s="293">
        <v>0</v>
      </c>
      <c r="AD374" s="454"/>
      <c r="AE374" s="292">
        <v>0</v>
      </c>
      <c r="AF374" s="292">
        <v>0</v>
      </c>
      <c r="AG374" s="292">
        <v>0</v>
      </c>
      <c r="AH374" s="292">
        <v>0</v>
      </c>
      <c r="AI374" s="504">
        <v>53.2</v>
      </c>
      <c r="AK374" s="504">
        <v>78.3</v>
      </c>
      <c r="AM374" s="509">
        <v>78.3</v>
      </c>
    </row>
    <row r="375" spans="1:56" x14ac:dyDescent="0.2">
      <c r="F375" s="501" t="s">
        <v>900</v>
      </c>
      <c r="J375" s="521">
        <v>154.83600000000001</v>
      </c>
      <c r="L375" s="425">
        <v>0</v>
      </c>
      <c r="M375" s="128"/>
      <c r="N375" s="426">
        <v>0</v>
      </c>
      <c r="O375" s="426">
        <v>0</v>
      </c>
      <c r="P375" s="426">
        <v>0</v>
      </c>
      <c r="Q375" s="426">
        <v>0</v>
      </c>
      <c r="R375" s="425">
        <v>51.9</v>
      </c>
      <c r="S375" s="456"/>
      <c r="T375" s="425">
        <v>0</v>
      </c>
      <c r="U375" s="454"/>
      <c r="V375" s="449">
        <v>154.83600000000001</v>
      </c>
      <c r="W375" s="201"/>
      <c r="X375" s="449">
        <v>0</v>
      </c>
      <c r="Y375" s="449">
        <v>0</v>
      </c>
      <c r="Z375" s="86">
        <v>9.7789999999999964</v>
      </c>
      <c r="AB375" s="293">
        <v>0</v>
      </c>
      <c r="AC375" s="293">
        <v>0</v>
      </c>
      <c r="AD375" s="454"/>
      <c r="AE375" s="292">
        <v>0</v>
      </c>
      <c r="AF375" s="292">
        <v>0</v>
      </c>
      <c r="AG375" s="292">
        <v>0</v>
      </c>
      <c r="AH375" s="292">
        <v>0</v>
      </c>
      <c r="AI375" s="293">
        <v>2.2000000000000002</v>
      </c>
      <c r="AK375" s="293">
        <v>0</v>
      </c>
      <c r="AM375" s="202">
        <v>10.760999999999999</v>
      </c>
    </row>
    <row r="376" spans="1:56" x14ac:dyDescent="0.2">
      <c r="F376" s="501" t="s">
        <v>633</v>
      </c>
      <c r="J376" s="523">
        <v>10.475</v>
      </c>
      <c r="L376" s="425">
        <v>0</v>
      </c>
      <c r="M376" s="128"/>
      <c r="N376" s="426">
        <v>0</v>
      </c>
      <c r="O376" s="426">
        <v>0</v>
      </c>
      <c r="P376" s="426">
        <v>0</v>
      </c>
      <c r="Q376" s="426">
        <v>0</v>
      </c>
      <c r="R376" s="425">
        <v>0</v>
      </c>
      <c r="S376" s="456"/>
      <c r="T376" s="425">
        <v>0</v>
      </c>
      <c r="U376" s="454"/>
      <c r="V376" s="509">
        <v>10.475</v>
      </c>
      <c r="W376" s="201"/>
      <c r="X376" s="449">
        <v>0</v>
      </c>
      <c r="Y376" s="449">
        <v>0</v>
      </c>
      <c r="Z376" s="86">
        <v>0</v>
      </c>
      <c r="AB376" s="293">
        <v>0</v>
      </c>
      <c r="AC376" s="293">
        <v>0</v>
      </c>
      <c r="AD376" s="454"/>
      <c r="AE376" s="292">
        <v>0</v>
      </c>
      <c r="AF376" s="292">
        <v>0</v>
      </c>
      <c r="AG376" s="292">
        <v>0</v>
      </c>
      <c r="AH376" s="292">
        <v>0</v>
      </c>
      <c r="AI376" s="293">
        <v>0</v>
      </c>
      <c r="AK376" s="293">
        <v>0</v>
      </c>
      <c r="AM376" s="202">
        <v>0</v>
      </c>
    </row>
    <row r="377" spans="1:56" x14ac:dyDescent="0.2">
      <c r="F377" s="501" t="s">
        <v>68</v>
      </c>
      <c r="J377" s="521">
        <v>912.16599999999983</v>
      </c>
      <c r="L377" s="425">
        <v>176.24099999999999</v>
      </c>
      <c r="M377" s="128"/>
      <c r="N377" s="426">
        <v>402</v>
      </c>
      <c r="O377" s="426">
        <v>64</v>
      </c>
      <c r="P377" s="426">
        <v>123</v>
      </c>
      <c r="Q377" s="426">
        <v>0</v>
      </c>
      <c r="R377" s="425">
        <v>0.11900000000002819</v>
      </c>
      <c r="S377" s="456"/>
      <c r="T377" s="425">
        <v>0</v>
      </c>
      <c r="U377" s="454"/>
      <c r="V377" s="450">
        <v>174.83199999999997</v>
      </c>
      <c r="W377" s="1"/>
      <c r="X377" s="450">
        <v>0</v>
      </c>
      <c r="Y377" s="450">
        <v>0</v>
      </c>
      <c r="Z377" s="523">
        <v>33.897000000000006</v>
      </c>
      <c r="AB377" s="293">
        <v>0</v>
      </c>
      <c r="AC377" s="293">
        <v>3.8</v>
      </c>
      <c r="AD377" s="454"/>
      <c r="AE377" s="292">
        <v>8</v>
      </c>
      <c r="AF377" s="292">
        <v>0</v>
      </c>
      <c r="AG377" s="292">
        <v>3</v>
      </c>
      <c r="AH377" s="292">
        <v>0</v>
      </c>
      <c r="AI377" s="293">
        <v>25.827999999999999</v>
      </c>
      <c r="AK377" s="293">
        <v>0</v>
      </c>
      <c r="AM377" s="459">
        <v>0</v>
      </c>
      <c r="AN377" s="1"/>
    </row>
    <row r="378" spans="1:56" x14ac:dyDescent="0.2">
      <c r="F378" s="501" t="s">
        <v>1100</v>
      </c>
      <c r="J378" s="521">
        <v>20.259</v>
      </c>
      <c r="L378" s="425">
        <v>0</v>
      </c>
      <c r="M378" s="128"/>
      <c r="N378" s="426">
        <v>0</v>
      </c>
      <c r="O378" s="426">
        <v>0</v>
      </c>
      <c r="P378" s="426">
        <v>0</v>
      </c>
      <c r="Q378" s="426">
        <v>0</v>
      </c>
      <c r="R378" s="425">
        <v>0</v>
      </c>
      <c r="S378" s="456"/>
      <c r="T378" s="425">
        <v>0</v>
      </c>
      <c r="U378" s="454"/>
      <c r="V378" s="449">
        <v>20.259</v>
      </c>
      <c r="W378" s="201"/>
      <c r="X378" s="449">
        <v>0</v>
      </c>
      <c r="Y378" s="449">
        <v>0</v>
      </c>
      <c r="Z378" s="86">
        <v>27.148000000000003</v>
      </c>
      <c r="AB378" s="293">
        <v>27.148</v>
      </c>
      <c r="AC378" s="293">
        <v>0</v>
      </c>
      <c r="AD378" s="454"/>
      <c r="AE378" s="292">
        <v>0</v>
      </c>
      <c r="AF378" s="292">
        <v>0</v>
      </c>
      <c r="AG378" s="292">
        <v>0</v>
      </c>
      <c r="AH378" s="292">
        <v>0</v>
      </c>
      <c r="AI378" s="293">
        <v>0</v>
      </c>
      <c r="AK378" s="293">
        <v>0</v>
      </c>
      <c r="AM378" s="202">
        <v>0</v>
      </c>
    </row>
    <row r="379" spans="1:56" x14ac:dyDescent="0.2">
      <c r="F379" s="501" t="s">
        <v>93</v>
      </c>
      <c r="J379" s="521">
        <v>143.45699999999999</v>
      </c>
      <c r="L379" s="425">
        <v>0</v>
      </c>
      <c r="M379" s="128"/>
      <c r="N379" s="426">
        <v>0</v>
      </c>
      <c r="O379" s="426">
        <v>0</v>
      </c>
      <c r="P379" s="426">
        <v>0</v>
      </c>
      <c r="Q379" s="426">
        <v>0</v>
      </c>
      <c r="R379" s="425">
        <v>0</v>
      </c>
      <c r="S379" s="456"/>
      <c r="T379" s="425">
        <v>0</v>
      </c>
      <c r="U379" s="454"/>
      <c r="V379" s="450">
        <v>100.58</v>
      </c>
      <c r="W379" s="1"/>
      <c r="X379" s="450">
        <v>0</v>
      </c>
      <c r="Y379" s="450">
        <v>0</v>
      </c>
      <c r="Z379" s="86">
        <v>0</v>
      </c>
      <c r="AB379" s="293">
        <v>0</v>
      </c>
      <c r="AC379" s="293">
        <v>0</v>
      </c>
      <c r="AD379" s="454"/>
      <c r="AE379" s="292">
        <v>0</v>
      </c>
      <c r="AF379" s="292">
        <v>0</v>
      </c>
      <c r="AG379" s="292">
        <v>0</v>
      </c>
      <c r="AH379" s="292">
        <v>0</v>
      </c>
      <c r="AI379" s="293">
        <v>0</v>
      </c>
      <c r="AK379" s="293">
        <v>0</v>
      </c>
      <c r="AM379" s="459">
        <v>0</v>
      </c>
      <c r="AN379" s="1"/>
    </row>
    <row r="380" spans="1:56" x14ac:dyDescent="0.2">
      <c r="F380" s="501" t="s">
        <v>26</v>
      </c>
      <c r="J380" s="523">
        <v>531.05500000000006</v>
      </c>
      <c r="L380" s="504">
        <v>86.899999999999991</v>
      </c>
      <c r="M380" s="128"/>
      <c r="N380" s="505">
        <v>175</v>
      </c>
      <c r="O380" s="426">
        <v>34</v>
      </c>
      <c r="P380" s="426">
        <v>63</v>
      </c>
      <c r="Q380" s="426">
        <v>0</v>
      </c>
      <c r="R380" s="425">
        <v>43</v>
      </c>
      <c r="S380" s="456"/>
      <c r="T380" s="425">
        <v>0</v>
      </c>
      <c r="U380" s="454"/>
      <c r="V380" s="449">
        <v>531.05500000000006</v>
      </c>
      <c r="W380" s="201"/>
      <c r="X380" s="449">
        <v>0</v>
      </c>
      <c r="Y380" s="449">
        <v>0</v>
      </c>
      <c r="Z380" s="86">
        <v>49.815000000000005</v>
      </c>
      <c r="AB380" s="293">
        <v>3.06</v>
      </c>
      <c r="AC380" s="293">
        <v>3</v>
      </c>
      <c r="AD380" s="454"/>
      <c r="AE380" s="505">
        <v>8</v>
      </c>
      <c r="AF380" s="292">
        <v>0</v>
      </c>
      <c r="AG380" s="292">
        <v>0</v>
      </c>
      <c r="AH380" s="292">
        <v>0</v>
      </c>
      <c r="AI380" s="293">
        <v>36.200000000000003</v>
      </c>
      <c r="AK380" s="293">
        <v>0</v>
      </c>
      <c r="AM380" s="202">
        <v>0</v>
      </c>
    </row>
    <row r="381" spans="1:56" x14ac:dyDescent="0.2">
      <c r="F381" s="501" t="s">
        <v>47</v>
      </c>
      <c r="J381" s="521">
        <v>923.51600000000008</v>
      </c>
      <c r="K381" s="128"/>
      <c r="L381" s="425">
        <v>118.30000000000001</v>
      </c>
      <c r="M381" s="128"/>
      <c r="N381" s="425">
        <v>333</v>
      </c>
      <c r="O381" s="425">
        <v>0</v>
      </c>
      <c r="P381" s="425">
        <v>71</v>
      </c>
      <c r="Q381" s="425">
        <v>14</v>
      </c>
      <c r="R381" s="425">
        <v>80.26100000000001</v>
      </c>
      <c r="S381" s="454"/>
      <c r="T381" s="425">
        <v>0</v>
      </c>
      <c r="U381" s="454"/>
      <c r="V381" s="425">
        <v>0</v>
      </c>
      <c r="W381" s="454"/>
      <c r="X381" s="425">
        <v>0</v>
      </c>
      <c r="Y381" s="425">
        <v>0</v>
      </c>
      <c r="Z381" s="86">
        <v>4.4420000000000002</v>
      </c>
      <c r="AA381" s="128"/>
      <c r="AB381" s="293">
        <v>0</v>
      </c>
      <c r="AC381" s="293">
        <v>0</v>
      </c>
      <c r="AD381" s="454"/>
      <c r="AE381" s="293">
        <v>0</v>
      </c>
      <c r="AF381" s="293">
        <v>0</v>
      </c>
      <c r="AG381" s="293">
        <v>0</v>
      </c>
      <c r="AH381" s="293">
        <v>0</v>
      </c>
      <c r="AI381" s="293">
        <v>4.4420000000000002</v>
      </c>
      <c r="AK381" s="293">
        <v>0</v>
      </c>
      <c r="AM381" s="202">
        <v>0</v>
      </c>
    </row>
    <row r="382" spans="1:56" x14ac:dyDescent="0.2">
      <c r="F382" s="501" t="s">
        <v>36</v>
      </c>
      <c r="J382" s="523">
        <v>920.28600000000006</v>
      </c>
      <c r="K382" s="128"/>
      <c r="L382" s="425">
        <v>96.4</v>
      </c>
      <c r="M382" s="128"/>
      <c r="N382" s="425">
        <v>182</v>
      </c>
      <c r="O382" s="425">
        <v>0</v>
      </c>
      <c r="P382" s="425">
        <v>66</v>
      </c>
      <c r="Q382" s="425">
        <v>9</v>
      </c>
      <c r="R382" s="504">
        <v>279.327</v>
      </c>
      <c r="S382" s="454"/>
      <c r="T382" s="425">
        <v>0</v>
      </c>
      <c r="U382" s="454"/>
      <c r="V382" s="504">
        <v>920.28600000000006</v>
      </c>
      <c r="W382" s="454"/>
      <c r="X382" s="425">
        <v>0</v>
      </c>
      <c r="Y382" s="449">
        <v>0</v>
      </c>
      <c r="Z382" s="523">
        <v>148.767</v>
      </c>
      <c r="AB382" s="293">
        <v>11.153</v>
      </c>
      <c r="AC382" s="293">
        <v>56.400000000000006</v>
      </c>
      <c r="AD382" s="454"/>
      <c r="AE382" s="292">
        <v>324</v>
      </c>
      <c r="AF382" s="292">
        <v>0</v>
      </c>
      <c r="AG382" s="292">
        <v>130</v>
      </c>
      <c r="AH382" s="292">
        <v>8</v>
      </c>
      <c r="AI382" s="504">
        <v>101.38800000000001</v>
      </c>
      <c r="AK382" s="293">
        <v>0</v>
      </c>
      <c r="AM382" s="202">
        <v>0</v>
      </c>
    </row>
    <row r="383" spans="1:56" x14ac:dyDescent="0.2">
      <c r="F383" s="501" t="s">
        <v>42</v>
      </c>
      <c r="J383" s="521">
        <v>174.55099999999999</v>
      </c>
      <c r="L383" s="425">
        <v>0</v>
      </c>
      <c r="M383" s="128"/>
      <c r="N383" s="426">
        <v>0</v>
      </c>
      <c r="O383" s="426">
        <v>0</v>
      </c>
      <c r="P383" s="426">
        <v>0</v>
      </c>
      <c r="Q383" s="426">
        <v>0</v>
      </c>
      <c r="R383" s="425">
        <v>33</v>
      </c>
      <c r="S383" s="456"/>
      <c r="T383" s="425">
        <v>0</v>
      </c>
      <c r="U383" s="454"/>
      <c r="V383" s="449">
        <v>174.55099999999999</v>
      </c>
      <c r="W383" s="201"/>
      <c r="X383" s="449">
        <v>0</v>
      </c>
      <c r="Y383" s="449"/>
      <c r="Z383" s="86">
        <v>0</v>
      </c>
      <c r="AB383" s="293">
        <v>0</v>
      </c>
      <c r="AC383" s="293">
        <v>0</v>
      </c>
      <c r="AD383" s="454"/>
      <c r="AE383" s="292">
        <v>0</v>
      </c>
      <c r="AF383" s="292">
        <v>0</v>
      </c>
      <c r="AG383" s="292">
        <v>0</v>
      </c>
      <c r="AH383" s="292">
        <v>0</v>
      </c>
      <c r="AI383" s="293">
        <v>0</v>
      </c>
      <c r="AK383" s="293">
        <v>0</v>
      </c>
      <c r="AM383" s="202">
        <v>0</v>
      </c>
    </row>
    <row r="384" spans="1:56" s="435" customFormat="1" x14ac:dyDescent="0.2">
      <c r="A384" s="427"/>
      <c r="B384" s="428"/>
      <c r="C384" s="428"/>
      <c r="D384" s="428"/>
      <c r="E384" s="428"/>
      <c r="F384" s="428" t="s">
        <v>1652</v>
      </c>
      <c r="G384" s="321"/>
      <c r="H384" s="184"/>
      <c r="I384" s="332"/>
      <c r="J384" s="520">
        <f>SUBTOTAL(9,J360:J383)</f>
        <v>6711.5219999999999</v>
      </c>
      <c r="K384" s="146"/>
      <c r="L384" s="429">
        <f t="shared" ref="L384:Z384" si="32">SUBTOTAL(9,L360:L383)</f>
        <v>1131.788</v>
      </c>
      <c r="M384" s="429"/>
      <c r="N384" s="429">
        <f t="shared" si="32"/>
        <v>2867</v>
      </c>
      <c r="O384" s="429">
        <f t="shared" si="32"/>
        <v>99</v>
      </c>
      <c r="P384" s="429">
        <f t="shared" si="32"/>
        <v>644</v>
      </c>
      <c r="Q384" s="429">
        <f t="shared" si="32"/>
        <v>304</v>
      </c>
      <c r="R384" s="429">
        <f t="shared" si="32"/>
        <v>1624.2439999999999</v>
      </c>
      <c r="S384" s="455"/>
      <c r="T384" s="429">
        <f t="shared" si="32"/>
        <v>216.34899999999996</v>
      </c>
      <c r="U384" s="455"/>
      <c r="V384" s="429">
        <f t="shared" si="32"/>
        <v>3110.5299999999997</v>
      </c>
      <c r="W384" s="455"/>
      <c r="X384" s="429">
        <f t="shared" si="32"/>
        <v>601.69399999999996</v>
      </c>
      <c r="Y384" s="429"/>
      <c r="Z384" s="528">
        <f t="shared" si="32"/>
        <v>2348.643</v>
      </c>
      <c r="AA384" s="146"/>
      <c r="AB384" s="444">
        <f t="shared" ref="AB384" si="33">SUBTOTAL(9,AB360:AB383)</f>
        <v>943.447</v>
      </c>
      <c r="AC384" s="444">
        <f t="shared" ref="AC384" si="34">SUBTOTAL(9,AC360:AC383)</f>
        <v>603.87799999999993</v>
      </c>
      <c r="AD384" s="444"/>
      <c r="AE384" s="444">
        <f t="shared" ref="AE384" si="35">SUBTOTAL(9,AE360:AE383)</f>
        <v>1562</v>
      </c>
      <c r="AF384" s="444">
        <f t="shared" ref="AF384" si="36">SUBTOTAL(9,AF360:AF383)</f>
        <v>22</v>
      </c>
      <c r="AG384" s="444">
        <f t="shared" ref="AG384" si="37">SUBTOTAL(9,AG360:AG383)</f>
        <v>857</v>
      </c>
      <c r="AH384" s="444">
        <f t="shared" ref="AH384" si="38">SUBTOTAL(9,AH360:AH383)</f>
        <v>31</v>
      </c>
      <c r="AI384" s="444">
        <f t="shared" ref="AI384" si="39">SUBTOTAL(9,AI360:AI383)</f>
        <v>958.60650000000021</v>
      </c>
      <c r="AJ384" s="146"/>
      <c r="AK384" s="444">
        <f t="shared" ref="AK384" si="40">SUBTOTAL(9,AK360:AK383)</f>
        <v>399.84599999999995</v>
      </c>
      <c r="AL384" s="146"/>
      <c r="AM384" s="444">
        <f t="shared" ref="AM384" si="41">SUBTOTAL(9,AM360:AM383)</f>
        <v>1784.9549999999999</v>
      </c>
      <c r="AN384" s="201"/>
      <c r="AO384" s="183"/>
      <c r="AP384" s="430"/>
      <c r="AQ384" s="430"/>
      <c r="AR384" s="431"/>
      <c r="AS384" s="431"/>
      <c r="AT384" s="432"/>
      <c r="AU384" s="433"/>
      <c r="AV384" s="433"/>
      <c r="AW384" s="433"/>
      <c r="AX384" s="433"/>
      <c r="AY384" s="434"/>
      <c r="AZ384" s="434"/>
      <c r="BA384" s="434"/>
      <c r="BB384" s="434"/>
      <c r="BC384" s="434"/>
      <c r="BD384" s="434"/>
    </row>
    <row r="385" spans="22:40" x14ac:dyDescent="0.2">
      <c r="V385" s="2"/>
      <c r="W385" s="2"/>
      <c r="X385" s="2"/>
      <c r="Y385" s="2"/>
      <c r="AM385" s="1"/>
      <c r="AN385" s="1"/>
    </row>
    <row r="410" spans="22:40" x14ac:dyDescent="0.2">
      <c r="V410" s="2"/>
      <c r="W410" s="2"/>
      <c r="X410" s="2"/>
      <c r="Y410" s="2"/>
      <c r="AM410" s="1"/>
      <c r="AN410" s="1"/>
    </row>
    <row r="411" spans="22:40" x14ac:dyDescent="0.2">
      <c r="V411" s="2"/>
      <c r="W411" s="2"/>
      <c r="X411" s="2"/>
      <c r="Y411" s="2"/>
      <c r="AM411" s="1"/>
      <c r="AN411" s="1"/>
    </row>
    <row r="414" spans="22:40" x14ac:dyDescent="0.2">
      <c r="V414" s="2"/>
      <c r="W414" s="2"/>
      <c r="X414" s="2"/>
      <c r="Y414" s="2"/>
      <c r="AM414" s="1"/>
      <c r="AN414" s="1"/>
    </row>
    <row r="461" spans="22:40" x14ac:dyDescent="0.2">
      <c r="V461" s="2"/>
      <c r="W461" s="2"/>
      <c r="X461" s="2"/>
      <c r="Y461" s="2"/>
      <c r="AM461" s="1"/>
      <c r="AN461" s="1"/>
    </row>
    <row r="473" spans="22:40" x14ac:dyDescent="0.2">
      <c r="V473" s="116"/>
      <c r="W473" s="116"/>
      <c r="X473" s="116"/>
      <c r="Y473" s="116"/>
      <c r="AM473" s="294"/>
      <c r="AN473" s="294"/>
    </row>
    <row r="493" spans="22:40" x14ac:dyDescent="0.2">
      <c r="V493" s="2"/>
      <c r="W493" s="2"/>
      <c r="X493" s="2"/>
      <c r="Y493" s="2"/>
      <c r="AM493" s="1"/>
      <c r="AN493" s="1"/>
    </row>
  </sheetData>
  <autoFilter ref="A2:AX352" xr:uid="{00000000-0009-0000-0000-000000000000}"/>
  <pageMargins left="0.31496062992125984" right="0.31496062992125984" top="0.39370078740157483" bottom="0.39370078740157483" header="0.31496062992125984" footer="0.31496062992125984"/>
  <pageSetup paperSize="8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9"/>
  <sheetViews>
    <sheetView tabSelected="1" zoomScaleNormal="100" workbookViewId="0">
      <selection activeCell="A2" sqref="A2"/>
    </sheetView>
  </sheetViews>
  <sheetFormatPr defaultColWidth="5.375" defaultRowHeight="10.5" x14ac:dyDescent="0.2"/>
  <cols>
    <col min="1" max="1" width="5.375" style="686"/>
    <col min="2" max="2" width="13.375" style="2" customWidth="1"/>
    <col min="3" max="3" width="10.375" style="2" customWidth="1"/>
    <col min="4" max="4" width="26.5" style="681" customWidth="1"/>
    <col min="5" max="5" width="14.375" style="671" customWidth="1"/>
    <col min="6" max="6" width="23.75" style="3" bestFit="1" customWidth="1"/>
    <col min="7" max="7" width="9.375" style="3" customWidth="1"/>
    <col min="8" max="8" width="18.375" style="3" customWidth="1"/>
    <col min="9" max="9" width="7.5" style="3" customWidth="1"/>
    <col min="10" max="12" width="8.625" style="3" customWidth="1"/>
    <col min="13" max="13" width="11.125" style="3" customWidth="1"/>
    <col min="14" max="14" width="12.625" style="3" customWidth="1"/>
    <col min="15" max="15" width="12.125" style="143" customWidth="1"/>
    <col min="16" max="16" width="24.5" style="4" bestFit="1" customWidth="1"/>
    <col min="17" max="17" width="7.875" style="128" customWidth="1"/>
    <col min="18" max="18" width="11.625" style="4" customWidth="1"/>
    <col min="19" max="19" width="7.875" style="10" customWidth="1"/>
    <col min="20" max="20" width="5.375" style="10"/>
    <col min="21" max="21" width="6.5" style="10" customWidth="1"/>
    <col min="22" max="22" width="5.375" style="10"/>
    <col min="23" max="23" width="7.5" style="128" customWidth="1"/>
    <col min="24" max="24" width="13.125" style="4" customWidth="1"/>
    <col min="25" max="25" width="8.5" style="143" customWidth="1"/>
    <col min="26" max="16384" width="5.375" style="11"/>
  </cols>
  <sheetData>
    <row r="1" spans="1:25" ht="26.25" customHeight="1" thickBot="1" x14ac:dyDescent="0.25">
      <c r="A1" s="693"/>
      <c r="B1" s="694"/>
      <c r="C1" s="694"/>
      <c r="D1" s="694"/>
      <c r="E1" s="690" t="s">
        <v>1837</v>
      </c>
      <c r="F1" s="691"/>
      <c r="G1" s="691"/>
      <c r="H1" s="691"/>
      <c r="I1" s="691"/>
      <c r="J1" s="691"/>
      <c r="K1" s="691"/>
      <c r="L1" s="691"/>
      <c r="M1" s="691"/>
      <c r="N1" s="692"/>
      <c r="O1" s="687" t="s">
        <v>1838</v>
      </c>
      <c r="P1" s="688"/>
      <c r="Q1" s="688"/>
      <c r="R1" s="688"/>
      <c r="S1" s="688"/>
      <c r="T1" s="688"/>
      <c r="U1" s="688"/>
      <c r="V1" s="688"/>
      <c r="W1" s="688"/>
      <c r="X1" s="689"/>
      <c r="Y1" s="11"/>
    </row>
    <row r="2" spans="1:25" ht="93" customHeight="1" thickBot="1" x14ac:dyDescent="0.25">
      <c r="A2" s="682" t="s">
        <v>2</v>
      </c>
      <c r="B2" s="13" t="s">
        <v>3</v>
      </c>
      <c r="C2" s="13" t="s">
        <v>4</v>
      </c>
      <c r="D2" s="672" t="s">
        <v>5</v>
      </c>
      <c r="E2" s="661" t="s">
        <v>1650</v>
      </c>
      <c r="F2" s="231" t="s">
        <v>1651</v>
      </c>
      <c r="G2" s="230" t="s">
        <v>1649</v>
      </c>
      <c r="H2" s="231" t="s">
        <v>8</v>
      </c>
      <c r="I2" s="295" t="s">
        <v>9</v>
      </c>
      <c r="J2" s="232" t="s">
        <v>10</v>
      </c>
      <c r="K2" s="232" t="s">
        <v>11</v>
      </c>
      <c r="L2" s="295" t="s">
        <v>14</v>
      </c>
      <c r="M2" s="230" t="s">
        <v>1644</v>
      </c>
      <c r="N2" s="230" t="s">
        <v>1641</v>
      </c>
      <c r="O2" s="519" t="s">
        <v>1653</v>
      </c>
      <c r="P2" s="224" t="s">
        <v>1646</v>
      </c>
      <c r="Q2" s="226" t="s">
        <v>1649</v>
      </c>
      <c r="R2" s="224" t="s">
        <v>1647</v>
      </c>
      <c r="S2" s="225" t="s">
        <v>9</v>
      </c>
      <c r="T2" s="225" t="s">
        <v>10</v>
      </c>
      <c r="U2" s="225" t="s">
        <v>11</v>
      </c>
      <c r="V2" s="225" t="s">
        <v>12</v>
      </c>
      <c r="W2" s="224" t="s">
        <v>1648</v>
      </c>
      <c r="X2" s="612" t="s">
        <v>1645</v>
      </c>
      <c r="Y2" s="11"/>
    </row>
    <row r="3" spans="1:25" ht="42" x14ac:dyDescent="0.2">
      <c r="A3" s="683" t="s">
        <v>25</v>
      </c>
      <c r="B3" s="530" t="s">
        <v>1816</v>
      </c>
      <c r="C3" s="533" t="s">
        <v>26</v>
      </c>
      <c r="D3" s="673" t="s">
        <v>27</v>
      </c>
      <c r="E3" s="662">
        <v>10.726000000000001</v>
      </c>
      <c r="F3" s="21" t="s">
        <v>30</v>
      </c>
      <c r="G3" s="594">
        <v>3</v>
      </c>
      <c r="H3" s="21" t="s">
        <v>1719</v>
      </c>
      <c r="I3" s="595">
        <v>8</v>
      </c>
      <c r="J3" s="595">
        <v>0</v>
      </c>
      <c r="K3" s="595">
        <v>0</v>
      </c>
      <c r="L3" s="595">
        <v>0</v>
      </c>
      <c r="M3" s="594"/>
      <c r="N3" s="594"/>
      <c r="O3" s="18">
        <v>114.75700000000001</v>
      </c>
      <c r="P3" s="17" t="s">
        <v>29</v>
      </c>
      <c r="Q3" s="16">
        <v>73.3</v>
      </c>
      <c r="R3" s="18" t="s">
        <v>1814</v>
      </c>
      <c r="S3" s="19">
        <v>85</v>
      </c>
      <c r="T3" s="19">
        <v>19</v>
      </c>
      <c r="U3" s="19">
        <v>34</v>
      </c>
      <c r="V3" s="19">
        <v>0</v>
      </c>
      <c r="W3" s="18"/>
      <c r="X3" s="613"/>
      <c r="Y3" s="11"/>
    </row>
    <row r="4" spans="1:25" ht="20.100000000000001" customHeight="1" x14ac:dyDescent="0.2">
      <c r="A4" s="621" t="s">
        <v>34</v>
      </c>
      <c r="B4" s="24" t="s">
        <v>35</v>
      </c>
      <c r="C4" s="25" t="s">
        <v>36</v>
      </c>
      <c r="D4" s="674" t="s">
        <v>37</v>
      </c>
      <c r="E4" s="608"/>
      <c r="F4" s="33"/>
      <c r="G4" s="69"/>
      <c r="H4" s="33"/>
      <c r="I4" s="37"/>
      <c r="J4" s="37"/>
      <c r="K4" s="37"/>
      <c r="L4" s="37"/>
      <c r="M4" s="69"/>
      <c r="N4" s="69"/>
      <c r="O4" s="46">
        <v>4.6319999999999997</v>
      </c>
      <c r="P4" s="29" t="s">
        <v>38</v>
      </c>
      <c r="Q4" s="29"/>
      <c r="R4" s="30"/>
      <c r="S4" s="31"/>
      <c r="T4" s="31"/>
      <c r="U4" s="31"/>
      <c r="V4" s="31"/>
      <c r="W4" s="30"/>
      <c r="X4" s="614"/>
      <c r="Y4" s="11"/>
    </row>
    <row r="5" spans="1:25" ht="21" x14ac:dyDescent="0.2">
      <c r="A5" s="621" t="s">
        <v>40</v>
      </c>
      <c r="B5" s="498" t="s">
        <v>41</v>
      </c>
      <c r="C5" s="25" t="s">
        <v>42</v>
      </c>
      <c r="D5" s="674" t="s">
        <v>43</v>
      </c>
      <c r="E5" s="608"/>
      <c r="F5" s="33"/>
      <c r="G5" s="69"/>
      <c r="H5" s="33"/>
      <c r="I5" s="37"/>
      <c r="J5" s="37"/>
      <c r="K5" s="37"/>
      <c r="L5" s="37"/>
      <c r="M5" s="69"/>
      <c r="N5" s="69"/>
      <c r="O5" s="46">
        <v>108.967</v>
      </c>
      <c r="P5" s="40" t="s">
        <v>44</v>
      </c>
      <c r="Q5" s="40"/>
      <c r="R5" s="41"/>
      <c r="S5" s="42"/>
      <c r="T5" s="42"/>
      <c r="U5" s="42"/>
      <c r="V5" s="42"/>
      <c r="W5" s="41"/>
      <c r="X5" s="615"/>
      <c r="Y5" s="11"/>
    </row>
    <row r="6" spans="1:25" ht="20.100000000000001" customHeight="1" x14ac:dyDescent="0.2">
      <c r="A6" s="621" t="s">
        <v>45</v>
      </c>
      <c r="B6" s="24" t="s">
        <v>46</v>
      </c>
      <c r="C6" s="25" t="s">
        <v>47</v>
      </c>
      <c r="D6" s="674" t="s">
        <v>48</v>
      </c>
      <c r="E6" s="608"/>
      <c r="F6" s="33"/>
      <c r="G6" s="596"/>
      <c r="H6" s="597"/>
      <c r="I6" s="598"/>
      <c r="J6" s="598"/>
      <c r="K6" s="598"/>
      <c r="L6" s="598"/>
      <c r="M6" s="596"/>
      <c r="N6" s="596"/>
      <c r="O6" s="30">
        <v>20.445999999999998</v>
      </c>
      <c r="P6" s="29" t="s">
        <v>50</v>
      </c>
      <c r="Q6" s="29">
        <v>0</v>
      </c>
      <c r="R6" s="31"/>
      <c r="S6" s="31"/>
      <c r="T6" s="31"/>
      <c r="U6" s="31"/>
      <c r="V6" s="31"/>
      <c r="W6" s="31">
        <f>20.955-0.509</f>
        <v>20.445999999999998</v>
      </c>
      <c r="X6" s="616" t="s">
        <v>46</v>
      </c>
      <c r="Y6" s="11"/>
    </row>
    <row r="7" spans="1:25" ht="20.100000000000001" customHeight="1" x14ac:dyDescent="0.2">
      <c r="A7" s="621" t="s">
        <v>52</v>
      </c>
      <c r="B7" s="24" t="s">
        <v>53</v>
      </c>
      <c r="C7" s="25" t="s">
        <v>47</v>
      </c>
      <c r="D7" s="674" t="s">
        <v>54</v>
      </c>
      <c r="E7" s="608"/>
      <c r="F7" s="33"/>
      <c r="G7" s="69"/>
      <c r="H7" s="33"/>
      <c r="I7" s="37"/>
      <c r="J7" s="37"/>
      <c r="K7" s="37"/>
      <c r="L7" s="37"/>
      <c r="M7" s="69"/>
      <c r="N7" s="69"/>
      <c r="O7" s="46">
        <v>26.878</v>
      </c>
      <c r="P7" s="28" t="s">
        <v>55</v>
      </c>
      <c r="Q7" s="48"/>
      <c r="R7" s="31"/>
      <c r="S7" s="31"/>
      <c r="T7" s="31"/>
      <c r="U7" s="31"/>
      <c r="V7" s="31"/>
      <c r="W7" s="31"/>
      <c r="X7" s="616"/>
      <c r="Y7" s="11"/>
    </row>
    <row r="8" spans="1:25" ht="28.5" customHeight="1" x14ac:dyDescent="0.2">
      <c r="A8" s="621" t="s">
        <v>56</v>
      </c>
      <c r="B8" s="24" t="s">
        <v>57</v>
      </c>
      <c r="C8" s="25" t="s">
        <v>47</v>
      </c>
      <c r="D8" s="674" t="s">
        <v>58</v>
      </c>
      <c r="E8" s="608"/>
      <c r="F8" s="33"/>
      <c r="G8" s="596"/>
      <c r="H8" s="597"/>
      <c r="I8" s="598"/>
      <c r="J8" s="598"/>
      <c r="K8" s="598"/>
      <c r="L8" s="598"/>
      <c r="M8" s="596"/>
      <c r="N8" s="596"/>
      <c r="O8" s="30">
        <v>40.986999999999995</v>
      </c>
      <c r="P8" s="29" t="s">
        <v>59</v>
      </c>
      <c r="Q8" s="29">
        <v>14.4</v>
      </c>
      <c r="R8" s="31" t="s">
        <v>1721</v>
      </c>
      <c r="S8" s="31">
        <v>25</v>
      </c>
      <c r="T8" s="31">
        <v>0</v>
      </c>
      <c r="U8" s="31">
        <v>10</v>
      </c>
      <c r="V8" s="31">
        <v>3</v>
      </c>
      <c r="W8" s="30">
        <v>1.887</v>
      </c>
      <c r="X8" s="616" t="s">
        <v>1722</v>
      </c>
      <c r="Y8" s="11"/>
    </row>
    <row r="9" spans="1:25" ht="20.100000000000001" customHeight="1" x14ac:dyDescent="0.2">
      <c r="A9" s="621" t="s">
        <v>62</v>
      </c>
      <c r="B9" s="24" t="s">
        <v>63</v>
      </c>
      <c r="C9" s="25" t="s">
        <v>47</v>
      </c>
      <c r="D9" s="674" t="s">
        <v>64</v>
      </c>
      <c r="E9" s="608"/>
      <c r="F9" s="33"/>
      <c r="G9" s="69"/>
      <c r="H9" s="33"/>
      <c r="I9" s="37"/>
      <c r="J9" s="37"/>
      <c r="K9" s="37"/>
      <c r="L9" s="37"/>
      <c r="M9" s="69"/>
      <c r="N9" s="69"/>
      <c r="O9" s="46">
        <v>10.285</v>
      </c>
      <c r="P9" s="28" t="s">
        <v>65</v>
      </c>
      <c r="Q9" s="28"/>
      <c r="R9" s="46"/>
      <c r="S9" s="47"/>
      <c r="T9" s="47"/>
      <c r="U9" s="47"/>
      <c r="V9" s="47"/>
      <c r="W9" s="46"/>
      <c r="X9" s="617"/>
      <c r="Y9" s="11"/>
    </row>
    <row r="10" spans="1:25" ht="20.100000000000001" customHeight="1" x14ac:dyDescent="0.2">
      <c r="A10" s="621" t="s">
        <v>66</v>
      </c>
      <c r="B10" s="24" t="s">
        <v>67</v>
      </c>
      <c r="C10" s="25" t="s">
        <v>68</v>
      </c>
      <c r="D10" s="674" t="s">
        <v>69</v>
      </c>
      <c r="E10" s="608"/>
      <c r="F10" s="33"/>
      <c r="G10" s="69"/>
      <c r="H10" s="33"/>
      <c r="I10" s="37"/>
      <c r="J10" s="37"/>
      <c r="K10" s="37"/>
      <c r="L10" s="37"/>
      <c r="M10" s="69"/>
      <c r="N10" s="69"/>
      <c r="O10" s="46">
        <v>12.02</v>
      </c>
      <c r="P10" s="29" t="s">
        <v>70</v>
      </c>
      <c r="Q10" s="29">
        <v>9.4410000000000007</v>
      </c>
      <c r="R10" s="30" t="s">
        <v>71</v>
      </c>
      <c r="S10" s="31">
        <v>11</v>
      </c>
      <c r="T10" s="31">
        <v>3</v>
      </c>
      <c r="U10" s="31">
        <v>4</v>
      </c>
      <c r="V10" s="31">
        <v>0</v>
      </c>
      <c r="W10" s="30"/>
      <c r="X10" s="614"/>
      <c r="Y10" s="11"/>
    </row>
    <row r="11" spans="1:25" ht="20.100000000000001" customHeight="1" x14ac:dyDescent="0.2">
      <c r="A11" s="621" t="s">
        <v>72</v>
      </c>
      <c r="B11" s="24" t="s">
        <v>73</v>
      </c>
      <c r="C11" s="25" t="s">
        <v>68</v>
      </c>
      <c r="D11" s="674" t="s">
        <v>74</v>
      </c>
      <c r="E11" s="608"/>
      <c r="F11" s="33"/>
      <c r="G11" s="69"/>
      <c r="H11" s="33"/>
      <c r="I11" s="37"/>
      <c r="J11" s="37"/>
      <c r="K11" s="37"/>
      <c r="L11" s="37"/>
      <c r="M11" s="69"/>
      <c r="N11" s="69"/>
      <c r="O11" s="46">
        <v>8.3920000000000012</v>
      </c>
      <c r="P11" s="29" t="s">
        <v>75</v>
      </c>
      <c r="Q11" s="29">
        <v>5.4</v>
      </c>
      <c r="R11" s="30" t="s">
        <v>76</v>
      </c>
      <c r="S11" s="31">
        <v>4</v>
      </c>
      <c r="T11" s="31">
        <v>0</v>
      </c>
      <c r="U11" s="31">
        <v>4</v>
      </c>
      <c r="V11" s="31">
        <v>0</v>
      </c>
      <c r="W11" s="30"/>
      <c r="X11" s="614"/>
      <c r="Y11" s="11"/>
    </row>
    <row r="12" spans="1:25" ht="20.100000000000001" customHeight="1" x14ac:dyDescent="0.2">
      <c r="A12" s="621" t="s">
        <v>77</v>
      </c>
      <c r="B12" s="24" t="s">
        <v>78</v>
      </c>
      <c r="C12" s="25" t="s">
        <v>47</v>
      </c>
      <c r="D12" s="674" t="s">
        <v>79</v>
      </c>
      <c r="E12" s="608"/>
      <c r="F12" s="33"/>
      <c r="G12" s="69"/>
      <c r="H12" s="33"/>
      <c r="I12" s="37"/>
      <c r="J12" s="37"/>
      <c r="K12" s="37"/>
      <c r="L12" s="37"/>
      <c r="M12" s="69"/>
      <c r="N12" s="69"/>
      <c r="O12" s="46">
        <v>3.3220000000000001</v>
      </c>
      <c r="P12" s="28" t="s">
        <v>80</v>
      </c>
      <c r="Q12" s="28"/>
      <c r="R12" s="46"/>
      <c r="S12" s="47"/>
      <c r="T12" s="47"/>
      <c r="U12" s="47"/>
      <c r="V12" s="47"/>
      <c r="W12" s="46"/>
      <c r="X12" s="617"/>
      <c r="Y12" s="11"/>
    </row>
    <row r="13" spans="1:25" ht="20.100000000000001" customHeight="1" x14ac:dyDescent="0.2">
      <c r="A13" s="621" t="s">
        <v>81</v>
      </c>
      <c r="B13" s="24" t="s">
        <v>82</v>
      </c>
      <c r="C13" s="25" t="s">
        <v>47</v>
      </c>
      <c r="D13" s="674" t="s">
        <v>83</v>
      </c>
      <c r="E13" s="663"/>
      <c r="F13" s="49"/>
      <c r="G13" s="51"/>
      <c r="H13" s="49"/>
      <c r="I13" s="50"/>
      <c r="J13" s="50"/>
      <c r="K13" s="50"/>
      <c r="L13" s="50"/>
      <c r="M13" s="51"/>
      <c r="N13" s="51"/>
      <c r="O13" s="46">
        <v>5.8449999999999998</v>
      </c>
      <c r="P13" s="28" t="s">
        <v>84</v>
      </c>
      <c r="Q13" s="28"/>
      <c r="R13" s="28"/>
      <c r="S13" s="48"/>
      <c r="T13" s="48"/>
      <c r="U13" s="48"/>
      <c r="V13" s="48"/>
      <c r="W13" s="28"/>
      <c r="X13" s="618"/>
      <c r="Y13" s="11"/>
    </row>
    <row r="14" spans="1:25" ht="20.100000000000001" customHeight="1" x14ac:dyDescent="0.2">
      <c r="A14" s="621" t="s">
        <v>86</v>
      </c>
      <c r="B14" s="24" t="s">
        <v>87</v>
      </c>
      <c r="C14" s="25" t="s">
        <v>68</v>
      </c>
      <c r="D14" s="674" t="s">
        <v>88</v>
      </c>
      <c r="E14" s="608"/>
      <c r="F14" s="33"/>
      <c r="G14" s="69"/>
      <c r="H14" s="33"/>
      <c r="I14" s="37"/>
      <c r="J14" s="37"/>
      <c r="K14" s="37"/>
      <c r="L14" s="37"/>
      <c r="M14" s="69"/>
      <c r="N14" s="69"/>
      <c r="O14" s="46">
        <v>3.5150000000000001</v>
      </c>
      <c r="P14" s="29" t="s">
        <v>89</v>
      </c>
      <c r="Q14" s="29">
        <v>1.9</v>
      </c>
      <c r="R14" s="30" t="s">
        <v>90</v>
      </c>
      <c r="S14" s="31">
        <v>7</v>
      </c>
      <c r="T14" s="31">
        <v>1</v>
      </c>
      <c r="U14" s="31">
        <v>0</v>
      </c>
      <c r="V14" s="31">
        <v>0</v>
      </c>
      <c r="W14" s="30"/>
      <c r="X14" s="614"/>
      <c r="Y14" s="11"/>
    </row>
    <row r="15" spans="1:25" ht="20.100000000000001" customHeight="1" x14ac:dyDescent="0.2">
      <c r="A15" s="621" t="s">
        <v>91</v>
      </c>
      <c r="B15" s="24" t="s">
        <v>92</v>
      </c>
      <c r="C15" s="25" t="s">
        <v>93</v>
      </c>
      <c r="D15" s="674" t="s">
        <v>94</v>
      </c>
      <c r="E15" s="608"/>
      <c r="F15" s="33"/>
      <c r="G15" s="69"/>
      <c r="H15" s="33"/>
      <c r="I15" s="37"/>
      <c r="J15" s="37"/>
      <c r="K15" s="37"/>
      <c r="L15" s="37"/>
      <c r="M15" s="69"/>
      <c r="N15" s="69"/>
      <c r="O15" s="46">
        <v>106.253</v>
      </c>
      <c r="P15" s="40" t="s">
        <v>92</v>
      </c>
      <c r="Q15" s="40"/>
      <c r="R15" s="41"/>
      <c r="S15" s="42"/>
      <c r="T15" s="42"/>
      <c r="U15" s="42"/>
      <c r="V15" s="42"/>
      <c r="W15" s="41"/>
      <c r="X15" s="615"/>
      <c r="Y15" s="11"/>
    </row>
    <row r="16" spans="1:25" ht="20.100000000000001" customHeight="1" x14ac:dyDescent="0.2">
      <c r="A16" s="621" t="s">
        <v>95</v>
      </c>
      <c r="B16" s="24" t="s">
        <v>96</v>
      </c>
      <c r="C16" s="25" t="s">
        <v>47</v>
      </c>
      <c r="D16" s="674" t="s">
        <v>97</v>
      </c>
      <c r="E16" s="611">
        <v>2.367</v>
      </c>
      <c r="F16" s="76" t="s">
        <v>99</v>
      </c>
      <c r="G16" s="79"/>
      <c r="H16" s="76"/>
      <c r="I16" s="78"/>
      <c r="J16" s="78"/>
      <c r="K16" s="78"/>
      <c r="L16" s="78"/>
      <c r="M16" s="79">
        <f>E16</f>
        <v>2.367</v>
      </c>
      <c r="N16" s="79"/>
      <c r="O16" s="46">
        <v>103.99299999999999</v>
      </c>
      <c r="P16" s="29" t="s">
        <v>98</v>
      </c>
      <c r="Q16" s="29"/>
      <c r="R16" s="30"/>
      <c r="S16" s="31"/>
      <c r="T16" s="31"/>
      <c r="U16" s="31"/>
      <c r="V16" s="31"/>
      <c r="W16" s="30"/>
      <c r="X16" s="614"/>
      <c r="Y16" s="11"/>
    </row>
    <row r="17" spans="1:25" ht="20.100000000000001" customHeight="1" x14ac:dyDescent="0.2">
      <c r="A17" s="621" t="s">
        <v>101</v>
      </c>
      <c r="B17" s="24" t="s">
        <v>102</v>
      </c>
      <c r="C17" s="25" t="s">
        <v>47</v>
      </c>
      <c r="D17" s="674" t="s">
        <v>103</v>
      </c>
      <c r="E17" s="608"/>
      <c r="F17" s="33"/>
      <c r="G17" s="69"/>
      <c r="H17" s="33"/>
      <c r="I17" s="37"/>
      <c r="J17" s="37"/>
      <c r="K17" s="37"/>
      <c r="L17" s="37"/>
      <c r="M17" s="69"/>
      <c r="N17" s="69"/>
      <c r="O17" s="46">
        <v>9.9519999999999982</v>
      </c>
      <c r="P17" s="29" t="s">
        <v>104</v>
      </c>
      <c r="Q17" s="30"/>
      <c r="R17" s="30"/>
      <c r="S17" s="31"/>
      <c r="T17" s="31"/>
      <c r="U17" s="31"/>
      <c r="V17" s="31"/>
      <c r="W17" s="30"/>
      <c r="X17" s="614"/>
      <c r="Y17" s="11"/>
    </row>
    <row r="18" spans="1:25" ht="20.100000000000001" customHeight="1" x14ac:dyDescent="0.2">
      <c r="A18" s="621" t="s">
        <v>105</v>
      </c>
      <c r="B18" s="24" t="s">
        <v>106</v>
      </c>
      <c r="C18" s="25" t="s">
        <v>68</v>
      </c>
      <c r="D18" s="674" t="s">
        <v>107</v>
      </c>
      <c r="E18" s="608"/>
      <c r="F18" s="33"/>
      <c r="G18" s="69"/>
      <c r="H18" s="33"/>
      <c r="I18" s="37"/>
      <c r="J18" s="37"/>
      <c r="K18" s="37"/>
      <c r="L18" s="37"/>
      <c r="M18" s="69"/>
      <c r="N18" s="69"/>
      <c r="O18" s="46">
        <v>12.692</v>
      </c>
      <c r="P18" s="29" t="s">
        <v>108</v>
      </c>
      <c r="Q18" s="30">
        <v>5.3</v>
      </c>
      <c r="R18" s="30" t="s">
        <v>109</v>
      </c>
      <c r="S18" s="31">
        <v>10</v>
      </c>
      <c r="T18" s="31">
        <v>4</v>
      </c>
      <c r="U18" s="31">
        <v>7</v>
      </c>
      <c r="V18" s="31">
        <v>0</v>
      </c>
      <c r="W18" s="30"/>
      <c r="X18" s="614"/>
      <c r="Y18" s="11"/>
    </row>
    <row r="19" spans="1:25" ht="20.100000000000001" customHeight="1" x14ac:dyDescent="0.2">
      <c r="A19" s="621" t="s">
        <v>110</v>
      </c>
      <c r="B19" s="24" t="s">
        <v>111</v>
      </c>
      <c r="C19" s="25" t="s">
        <v>68</v>
      </c>
      <c r="D19" s="674" t="s">
        <v>112</v>
      </c>
      <c r="E19" s="608"/>
      <c r="F19" s="33"/>
      <c r="G19" s="69"/>
      <c r="H19" s="33"/>
      <c r="I19" s="37"/>
      <c r="J19" s="37"/>
      <c r="K19" s="37"/>
      <c r="L19" s="37"/>
      <c r="M19" s="69"/>
      <c r="N19" s="69"/>
      <c r="O19" s="46">
        <v>3.7569999999999997</v>
      </c>
      <c r="P19" s="29" t="s">
        <v>113</v>
      </c>
      <c r="Q19" s="30"/>
      <c r="R19" s="30"/>
      <c r="S19" s="31"/>
      <c r="T19" s="31"/>
      <c r="U19" s="31"/>
      <c r="V19" s="31"/>
      <c r="W19" s="30"/>
      <c r="X19" s="614"/>
      <c r="Y19" s="11"/>
    </row>
    <row r="20" spans="1:25" ht="17.25" customHeight="1" x14ac:dyDescent="0.2">
      <c r="A20" s="621" t="s">
        <v>114</v>
      </c>
      <c r="B20" s="24" t="s">
        <v>115</v>
      </c>
      <c r="C20" s="25" t="s">
        <v>47</v>
      </c>
      <c r="D20" s="674" t="s">
        <v>116</v>
      </c>
      <c r="E20" s="609">
        <v>2.0750000000000002</v>
      </c>
      <c r="F20" s="59" t="s">
        <v>119</v>
      </c>
      <c r="G20" s="61"/>
      <c r="H20" s="59"/>
      <c r="I20" s="60"/>
      <c r="J20" s="60"/>
      <c r="K20" s="60"/>
      <c r="L20" s="60"/>
      <c r="M20" s="61">
        <v>2.0750000000000002</v>
      </c>
      <c r="N20" s="61"/>
      <c r="O20" s="46">
        <v>20.215</v>
      </c>
      <c r="P20" s="57" t="s">
        <v>118</v>
      </c>
      <c r="Q20" s="57"/>
      <c r="R20" s="57"/>
      <c r="S20" s="58"/>
      <c r="T20" s="58"/>
      <c r="U20" s="58"/>
      <c r="V20" s="58"/>
      <c r="W20" s="57"/>
      <c r="X20" s="619"/>
      <c r="Y20" s="11"/>
    </row>
    <row r="21" spans="1:25" ht="20.100000000000001" customHeight="1" x14ac:dyDescent="0.2">
      <c r="A21" s="621" t="s">
        <v>120</v>
      </c>
      <c r="B21" s="24" t="s">
        <v>121</v>
      </c>
      <c r="C21" s="25" t="s">
        <v>47</v>
      </c>
      <c r="D21" s="674" t="s">
        <v>122</v>
      </c>
      <c r="E21" s="608"/>
      <c r="F21" s="33"/>
      <c r="G21" s="69"/>
      <c r="H21" s="33"/>
      <c r="I21" s="37"/>
      <c r="J21" s="37"/>
      <c r="K21" s="37"/>
      <c r="L21" s="37"/>
      <c r="M21" s="69"/>
      <c r="N21" s="69"/>
      <c r="O21" s="46">
        <v>22.372</v>
      </c>
      <c r="P21" s="29" t="s">
        <v>124</v>
      </c>
      <c r="Q21" s="30"/>
      <c r="R21" s="30"/>
      <c r="S21" s="31"/>
      <c r="T21" s="31"/>
      <c r="U21" s="31"/>
      <c r="V21" s="31"/>
      <c r="W21" s="30"/>
      <c r="X21" s="614"/>
      <c r="Y21" s="11"/>
    </row>
    <row r="22" spans="1:25" ht="20.100000000000001" customHeight="1" x14ac:dyDescent="0.2">
      <c r="A22" s="621" t="s">
        <v>125</v>
      </c>
      <c r="B22" s="24" t="s">
        <v>126</v>
      </c>
      <c r="C22" s="25" t="s">
        <v>47</v>
      </c>
      <c r="D22" s="674" t="s">
        <v>127</v>
      </c>
      <c r="E22" s="608"/>
      <c r="F22" s="33"/>
      <c r="G22" s="69"/>
      <c r="H22" s="33"/>
      <c r="I22" s="37"/>
      <c r="J22" s="37"/>
      <c r="K22" s="37"/>
      <c r="L22" s="37"/>
      <c r="M22" s="69"/>
      <c r="N22" s="69"/>
      <c r="O22" s="46">
        <v>15.83</v>
      </c>
      <c r="P22" s="28" t="s">
        <v>128</v>
      </c>
      <c r="Q22" s="46"/>
      <c r="R22" s="46"/>
      <c r="S22" s="47"/>
      <c r="T22" s="47"/>
      <c r="U22" s="47"/>
      <c r="V22" s="47"/>
      <c r="W22" s="46"/>
      <c r="X22" s="617"/>
      <c r="Y22" s="11"/>
    </row>
    <row r="23" spans="1:25" ht="20.100000000000001" customHeight="1" x14ac:dyDescent="0.2">
      <c r="A23" s="621" t="s">
        <v>129</v>
      </c>
      <c r="B23" s="24" t="s">
        <v>130</v>
      </c>
      <c r="C23" s="25" t="s">
        <v>47</v>
      </c>
      <c r="D23" s="674" t="s">
        <v>131</v>
      </c>
      <c r="E23" s="608"/>
      <c r="F23" s="33"/>
      <c r="G23" s="69"/>
      <c r="H23" s="33"/>
      <c r="I23" s="37"/>
      <c r="J23" s="37"/>
      <c r="K23" s="37"/>
      <c r="L23" s="37"/>
      <c r="M23" s="69"/>
      <c r="N23" s="69"/>
      <c r="O23" s="30">
        <v>53.162999999999997</v>
      </c>
      <c r="P23" s="28" t="s">
        <v>132</v>
      </c>
      <c r="Q23" s="30">
        <v>9.4</v>
      </c>
      <c r="R23" s="30" t="s">
        <v>133</v>
      </c>
      <c r="S23" s="30">
        <v>20</v>
      </c>
      <c r="T23" s="30">
        <v>0</v>
      </c>
      <c r="U23" s="30">
        <v>16</v>
      </c>
      <c r="V23" s="30">
        <v>1</v>
      </c>
      <c r="W23" s="30">
        <f>17.2-0.389+53.552-51.6</f>
        <v>18.762999999999998</v>
      </c>
      <c r="X23" s="614" t="s">
        <v>134</v>
      </c>
      <c r="Y23" s="11"/>
    </row>
    <row r="24" spans="1:25" ht="20.100000000000001" customHeight="1" x14ac:dyDescent="0.2">
      <c r="A24" s="621" t="s">
        <v>136</v>
      </c>
      <c r="B24" s="24" t="s">
        <v>137</v>
      </c>
      <c r="C24" s="25" t="s">
        <v>47</v>
      </c>
      <c r="D24" s="674" t="s">
        <v>138</v>
      </c>
      <c r="E24" s="608"/>
      <c r="F24" s="33"/>
      <c r="G24" s="69"/>
      <c r="H24" s="33"/>
      <c r="I24" s="37"/>
      <c r="J24" s="37"/>
      <c r="K24" s="37"/>
      <c r="L24" s="37"/>
      <c r="M24" s="69"/>
      <c r="N24" s="69"/>
      <c r="O24" s="46">
        <v>2.3410000000000002</v>
      </c>
      <c r="P24" s="28" t="s">
        <v>139</v>
      </c>
      <c r="Q24" s="30"/>
      <c r="R24" s="30"/>
      <c r="S24" s="30"/>
      <c r="T24" s="30"/>
      <c r="U24" s="30"/>
      <c r="V24" s="30"/>
      <c r="W24" s="30"/>
      <c r="X24" s="614"/>
      <c r="Y24" s="11"/>
    </row>
    <row r="25" spans="1:25" ht="20.100000000000001" customHeight="1" x14ac:dyDescent="0.2">
      <c r="A25" s="621" t="s">
        <v>140</v>
      </c>
      <c r="B25" s="24" t="s">
        <v>141</v>
      </c>
      <c r="C25" s="25" t="s">
        <v>47</v>
      </c>
      <c r="D25" s="674" t="s">
        <v>142</v>
      </c>
      <c r="E25" s="608"/>
      <c r="F25" s="33"/>
      <c r="G25" s="69"/>
      <c r="H25" s="33"/>
      <c r="I25" s="37"/>
      <c r="J25" s="37"/>
      <c r="K25" s="37"/>
      <c r="L25" s="37"/>
      <c r="M25" s="69"/>
      <c r="N25" s="69"/>
      <c r="O25" s="46">
        <v>17.882999999999999</v>
      </c>
      <c r="P25" s="28" t="s">
        <v>143</v>
      </c>
      <c r="Q25" s="30"/>
      <c r="R25" s="30"/>
      <c r="S25" s="30"/>
      <c r="T25" s="30"/>
      <c r="U25" s="30"/>
      <c r="V25" s="30"/>
      <c r="W25" s="30"/>
      <c r="X25" s="614"/>
      <c r="Y25" s="11"/>
    </row>
    <row r="26" spans="1:25" ht="20.100000000000001" customHeight="1" x14ac:dyDescent="0.2">
      <c r="A26" s="621" t="s">
        <v>145</v>
      </c>
      <c r="B26" s="24" t="s">
        <v>146</v>
      </c>
      <c r="C26" s="25" t="s">
        <v>47</v>
      </c>
      <c r="D26" s="674" t="s">
        <v>147</v>
      </c>
      <c r="E26" s="608"/>
      <c r="F26" s="33"/>
      <c r="G26" s="69"/>
      <c r="H26" s="33"/>
      <c r="I26" s="37"/>
      <c r="J26" s="37"/>
      <c r="K26" s="37"/>
      <c r="L26" s="37"/>
      <c r="M26" s="69"/>
      <c r="N26" s="69"/>
      <c r="O26" s="46">
        <v>1.3460000000000001</v>
      </c>
      <c r="P26" s="28" t="s">
        <v>148</v>
      </c>
      <c r="Q26" s="30"/>
      <c r="R26" s="30"/>
      <c r="S26" s="30"/>
      <c r="T26" s="30"/>
      <c r="U26" s="30"/>
      <c r="V26" s="30"/>
      <c r="W26" s="30"/>
      <c r="X26" s="614"/>
      <c r="Y26" s="11"/>
    </row>
    <row r="27" spans="1:25" ht="20.100000000000001" customHeight="1" x14ac:dyDescent="0.2">
      <c r="A27" s="621" t="s">
        <v>149</v>
      </c>
      <c r="B27" s="24" t="s">
        <v>150</v>
      </c>
      <c r="C27" s="25" t="s">
        <v>47</v>
      </c>
      <c r="D27" s="674" t="s">
        <v>151</v>
      </c>
      <c r="E27" s="608"/>
      <c r="F27" s="33"/>
      <c r="G27" s="69"/>
      <c r="H27" s="33"/>
      <c r="I27" s="37"/>
      <c r="J27" s="37"/>
      <c r="K27" s="37"/>
      <c r="L27" s="37"/>
      <c r="M27" s="69"/>
      <c r="N27" s="69"/>
      <c r="O27" s="46">
        <v>23.710999999999999</v>
      </c>
      <c r="P27" s="28" t="s">
        <v>152</v>
      </c>
      <c r="Q27" s="30"/>
      <c r="R27" s="30"/>
      <c r="S27" s="30"/>
      <c r="T27" s="30"/>
      <c r="U27" s="30"/>
      <c r="V27" s="30"/>
      <c r="W27" s="30"/>
      <c r="X27" s="614"/>
      <c r="Y27" s="11"/>
    </row>
    <row r="28" spans="1:25" ht="20.100000000000001" customHeight="1" x14ac:dyDescent="0.2">
      <c r="A28" s="621" t="s">
        <v>153</v>
      </c>
      <c r="B28" s="24" t="s">
        <v>154</v>
      </c>
      <c r="C28" s="25" t="s">
        <v>47</v>
      </c>
      <c r="D28" s="674" t="s">
        <v>155</v>
      </c>
      <c r="E28" s="608"/>
      <c r="F28" s="33"/>
      <c r="G28" s="69"/>
      <c r="H28" s="33"/>
      <c r="I28" s="37"/>
      <c r="J28" s="37"/>
      <c r="K28" s="37"/>
      <c r="L28" s="37"/>
      <c r="M28" s="69"/>
      <c r="N28" s="69"/>
      <c r="O28" s="30">
        <v>14.720000000000002</v>
      </c>
      <c r="P28" s="28" t="s">
        <v>156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f>19.969-5.249</f>
        <v>14.720000000000002</v>
      </c>
      <c r="X28" s="614" t="s">
        <v>156</v>
      </c>
      <c r="Y28" s="11"/>
    </row>
    <row r="29" spans="1:25" ht="20.100000000000001" customHeight="1" x14ac:dyDescent="0.2">
      <c r="A29" s="621" t="s">
        <v>157</v>
      </c>
      <c r="B29" s="24" t="s">
        <v>158</v>
      </c>
      <c r="C29" s="25" t="s">
        <v>47</v>
      </c>
      <c r="D29" s="674" t="s">
        <v>159</v>
      </c>
      <c r="E29" s="608"/>
      <c r="F29" s="33"/>
      <c r="G29" s="69"/>
      <c r="H29" s="33"/>
      <c r="I29" s="37"/>
      <c r="J29" s="37"/>
      <c r="K29" s="37"/>
      <c r="L29" s="37"/>
      <c r="M29" s="69"/>
      <c r="N29" s="69"/>
      <c r="O29" s="30">
        <v>6.5720000000000001</v>
      </c>
      <c r="P29" s="28" t="s">
        <v>160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f>6.809-0.237</f>
        <v>6.5720000000000001</v>
      </c>
      <c r="X29" s="614" t="s">
        <v>160</v>
      </c>
      <c r="Y29" s="11"/>
    </row>
    <row r="30" spans="1:25" ht="94.5" x14ac:dyDescent="0.2">
      <c r="A30" s="621" t="s">
        <v>161</v>
      </c>
      <c r="B30" s="24" t="s">
        <v>162</v>
      </c>
      <c r="C30" s="25" t="s">
        <v>163</v>
      </c>
      <c r="D30" s="674" t="s">
        <v>164</v>
      </c>
      <c r="E30" s="611">
        <v>27.765000000000001</v>
      </c>
      <c r="F30" s="76" t="s">
        <v>1743</v>
      </c>
      <c r="G30" s="79">
        <v>0</v>
      </c>
      <c r="H30" s="76" t="s">
        <v>1744</v>
      </c>
      <c r="I30" s="78">
        <v>0</v>
      </c>
      <c r="J30" s="78">
        <v>0</v>
      </c>
      <c r="K30" s="78">
        <v>0</v>
      </c>
      <c r="L30" s="78">
        <v>0</v>
      </c>
      <c r="M30" s="76">
        <v>27.765000000000001</v>
      </c>
      <c r="N30" s="76" t="s">
        <v>1743</v>
      </c>
      <c r="O30" s="196">
        <v>73.567000000000007</v>
      </c>
      <c r="P30" s="40" t="s">
        <v>1742</v>
      </c>
      <c r="Q30" s="62">
        <v>0</v>
      </c>
      <c r="R30" s="62">
        <v>0</v>
      </c>
      <c r="S30" s="63">
        <v>0</v>
      </c>
      <c r="T30" s="63">
        <v>0</v>
      </c>
      <c r="U30" s="63">
        <v>0</v>
      </c>
      <c r="V30" s="63">
        <v>0</v>
      </c>
      <c r="W30" s="62">
        <v>35.665999999999997</v>
      </c>
      <c r="X30" s="620"/>
      <c r="Y30" s="11"/>
    </row>
    <row r="31" spans="1:25" ht="20.100000000000001" customHeight="1" x14ac:dyDescent="0.2">
      <c r="A31" s="621" t="s">
        <v>166</v>
      </c>
      <c r="B31" s="24" t="s">
        <v>167</v>
      </c>
      <c r="C31" s="25" t="s">
        <v>68</v>
      </c>
      <c r="D31" s="674" t="s">
        <v>168</v>
      </c>
      <c r="E31" s="608"/>
      <c r="F31" s="33"/>
      <c r="G31" s="69"/>
      <c r="H31" s="33"/>
      <c r="I31" s="37"/>
      <c r="J31" s="37"/>
      <c r="K31" s="37"/>
      <c r="L31" s="37"/>
      <c r="M31" s="69"/>
      <c r="N31" s="69"/>
      <c r="O31" s="46">
        <v>26.274000000000001</v>
      </c>
      <c r="P31" s="29" t="s">
        <v>169</v>
      </c>
      <c r="Q31" s="30"/>
      <c r="R31" s="30"/>
      <c r="S31" s="31"/>
      <c r="T31" s="31"/>
      <c r="U31" s="31"/>
      <c r="V31" s="31"/>
      <c r="W31" s="30"/>
      <c r="X31" s="614"/>
      <c r="Y31" s="11"/>
    </row>
    <row r="32" spans="1:25" ht="43.5" customHeight="1" x14ac:dyDescent="0.2">
      <c r="A32" s="621" t="s">
        <v>170</v>
      </c>
      <c r="B32" s="24" t="s">
        <v>171</v>
      </c>
      <c r="C32" s="25" t="s">
        <v>47</v>
      </c>
      <c r="D32" s="674" t="s">
        <v>172</v>
      </c>
      <c r="E32" s="608"/>
      <c r="F32" s="33"/>
      <c r="G32" s="69"/>
      <c r="H32" s="33"/>
      <c r="I32" s="37"/>
      <c r="J32" s="37"/>
      <c r="K32" s="37"/>
      <c r="L32" s="37"/>
      <c r="M32" s="69"/>
      <c r="N32" s="69"/>
      <c r="O32" s="46">
        <v>72.33</v>
      </c>
      <c r="P32" s="28" t="s">
        <v>173</v>
      </c>
      <c r="Q32" s="46">
        <v>42.7</v>
      </c>
      <c r="R32" s="46" t="s">
        <v>1723</v>
      </c>
      <c r="S32" s="47">
        <v>110</v>
      </c>
      <c r="T32" s="47">
        <v>0</v>
      </c>
      <c r="U32" s="47">
        <v>20</v>
      </c>
      <c r="V32" s="47">
        <v>5</v>
      </c>
      <c r="W32" s="46">
        <v>17.402000000000001</v>
      </c>
      <c r="X32" s="617" t="s">
        <v>1724</v>
      </c>
      <c r="Y32" s="11"/>
    </row>
    <row r="33" spans="1:25" ht="53.25" customHeight="1" x14ac:dyDescent="0.2">
      <c r="A33" s="621" t="s">
        <v>174</v>
      </c>
      <c r="B33" s="24" t="s">
        <v>175</v>
      </c>
      <c r="C33" s="25" t="s">
        <v>47</v>
      </c>
      <c r="D33" s="674" t="s">
        <v>176</v>
      </c>
      <c r="E33" s="608"/>
      <c r="F33" s="33"/>
      <c r="G33" s="69"/>
      <c r="H33" s="33"/>
      <c r="I33" s="37"/>
      <c r="J33" s="37"/>
      <c r="K33" s="37"/>
      <c r="L33" s="37"/>
      <c r="M33" s="69"/>
      <c r="N33" s="69"/>
      <c r="O33" s="46">
        <v>9.5570000000000004</v>
      </c>
      <c r="P33" s="28" t="s">
        <v>177</v>
      </c>
      <c r="Q33" s="46"/>
      <c r="R33" s="46"/>
      <c r="S33" s="47"/>
      <c r="T33" s="47"/>
      <c r="U33" s="47"/>
      <c r="V33" s="47"/>
      <c r="W33" s="46"/>
      <c r="X33" s="617"/>
      <c r="Y33" s="11"/>
    </row>
    <row r="34" spans="1:25" ht="20.100000000000001" customHeight="1" x14ac:dyDescent="0.2">
      <c r="A34" s="621" t="s">
        <v>178</v>
      </c>
      <c r="B34" s="24" t="s">
        <v>179</v>
      </c>
      <c r="C34" s="25" t="s">
        <v>47</v>
      </c>
      <c r="D34" s="674" t="s">
        <v>180</v>
      </c>
      <c r="E34" s="608"/>
      <c r="F34" s="33"/>
      <c r="G34" s="69"/>
      <c r="H34" s="33"/>
      <c r="I34" s="37"/>
      <c r="J34" s="37"/>
      <c r="K34" s="37"/>
      <c r="L34" s="37"/>
      <c r="M34" s="69"/>
      <c r="N34" s="69"/>
      <c r="O34" s="46">
        <v>18.911000000000001</v>
      </c>
      <c r="P34" s="28" t="s">
        <v>181</v>
      </c>
      <c r="Q34" s="46"/>
      <c r="R34" s="46"/>
      <c r="S34" s="47"/>
      <c r="T34" s="47"/>
      <c r="U34" s="47"/>
      <c r="V34" s="47"/>
      <c r="W34" s="46"/>
      <c r="X34" s="617"/>
      <c r="Y34" s="11"/>
    </row>
    <row r="35" spans="1:25" ht="18.75" customHeight="1" x14ac:dyDescent="0.2">
      <c r="A35" s="621" t="s">
        <v>182</v>
      </c>
      <c r="B35" s="24" t="s">
        <v>183</v>
      </c>
      <c r="C35" s="25" t="s">
        <v>47</v>
      </c>
      <c r="D35" s="674" t="s">
        <v>184</v>
      </c>
      <c r="E35" s="608"/>
      <c r="F35" s="33"/>
      <c r="G35" s="69"/>
      <c r="H35" s="33"/>
      <c r="I35" s="37"/>
      <c r="J35" s="37"/>
      <c r="K35" s="37"/>
      <c r="L35" s="37"/>
      <c r="M35" s="69"/>
      <c r="N35" s="69"/>
      <c r="O35" s="46">
        <v>69.397999999999996</v>
      </c>
      <c r="P35" s="28" t="s">
        <v>185</v>
      </c>
      <c r="Q35" s="46"/>
      <c r="R35" s="46"/>
      <c r="S35" s="47"/>
      <c r="T35" s="47"/>
      <c r="U35" s="47"/>
      <c r="V35" s="47"/>
      <c r="W35" s="46"/>
      <c r="X35" s="617"/>
      <c r="Y35" s="11"/>
    </row>
    <row r="36" spans="1:25" ht="51" customHeight="1" x14ac:dyDescent="0.2">
      <c r="A36" s="621" t="s">
        <v>186</v>
      </c>
      <c r="B36" s="24" t="s">
        <v>187</v>
      </c>
      <c r="C36" s="25" t="s">
        <v>47</v>
      </c>
      <c r="D36" s="674" t="s">
        <v>188</v>
      </c>
      <c r="E36" s="608"/>
      <c r="F36" s="33"/>
      <c r="G36" s="69"/>
      <c r="H36" s="33"/>
      <c r="I36" s="37"/>
      <c r="J36" s="37"/>
      <c r="K36" s="37"/>
      <c r="L36" s="37"/>
      <c r="M36" s="69"/>
      <c r="N36" s="69"/>
      <c r="O36" s="46">
        <v>11.895000000000001</v>
      </c>
      <c r="P36" s="28" t="s">
        <v>189</v>
      </c>
      <c r="Q36" s="46"/>
      <c r="R36" s="46"/>
      <c r="S36" s="47"/>
      <c r="T36" s="47"/>
      <c r="U36" s="47"/>
      <c r="V36" s="47"/>
      <c r="W36" s="46"/>
      <c r="X36" s="617"/>
      <c r="Y36" s="11"/>
    </row>
    <row r="37" spans="1:25" ht="52.5" customHeight="1" x14ac:dyDescent="0.2">
      <c r="A37" s="621" t="s">
        <v>190</v>
      </c>
      <c r="B37" s="24" t="s">
        <v>191</v>
      </c>
      <c r="C37" s="25" t="s">
        <v>47</v>
      </c>
      <c r="D37" s="674" t="s">
        <v>192</v>
      </c>
      <c r="E37" s="608"/>
      <c r="F37" s="33"/>
      <c r="G37" s="69"/>
      <c r="H37" s="33"/>
      <c r="I37" s="37"/>
      <c r="J37" s="37"/>
      <c r="K37" s="37"/>
      <c r="L37" s="37"/>
      <c r="M37" s="69"/>
      <c r="N37" s="69"/>
      <c r="O37" s="46">
        <v>14.772</v>
      </c>
      <c r="P37" s="28" t="s">
        <v>193</v>
      </c>
      <c r="Q37" s="46"/>
      <c r="R37" s="46"/>
      <c r="S37" s="47"/>
      <c r="T37" s="47"/>
      <c r="U37" s="47"/>
      <c r="V37" s="47"/>
      <c r="W37" s="46"/>
      <c r="X37" s="617"/>
      <c r="Y37" s="11"/>
    </row>
    <row r="38" spans="1:25" ht="20.100000000000001" customHeight="1" x14ac:dyDescent="0.2">
      <c r="A38" s="621" t="s">
        <v>194</v>
      </c>
      <c r="B38" s="24" t="s">
        <v>195</v>
      </c>
      <c r="C38" s="25" t="s">
        <v>47</v>
      </c>
      <c r="D38" s="674" t="s">
        <v>196</v>
      </c>
      <c r="E38" s="608"/>
      <c r="F38" s="33"/>
      <c r="G38" s="69"/>
      <c r="H38" s="33"/>
      <c r="I38" s="37"/>
      <c r="J38" s="37"/>
      <c r="K38" s="37"/>
      <c r="L38" s="37"/>
      <c r="M38" s="69"/>
      <c r="N38" s="69"/>
      <c r="O38" s="46">
        <v>30.148</v>
      </c>
      <c r="P38" s="28" t="s">
        <v>197</v>
      </c>
      <c r="Q38" s="46">
        <v>24.2</v>
      </c>
      <c r="R38" s="46" t="s">
        <v>198</v>
      </c>
      <c r="S38" s="47">
        <v>50</v>
      </c>
      <c r="T38" s="47">
        <v>0</v>
      </c>
      <c r="U38" s="47">
        <v>16</v>
      </c>
      <c r="V38" s="47">
        <v>1</v>
      </c>
      <c r="W38" s="46"/>
      <c r="X38" s="617"/>
      <c r="Y38" s="11"/>
    </row>
    <row r="39" spans="1:25" ht="37.5" customHeight="1" x14ac:dyDescent="0.2">
      <c r="A39" s="621" t="s">
        <v>199</v>
      </c>
      <c r="B39" s="24" t="s">
        <v>200</v>
      </c>
      <c r="C39" s="25" t="s">
        <v>47</v>
      </c>
      <c r="D39" s="674" t="s">
        <v>201</v>
      </c>
      <c r="E39" s="608"/>
      <c r="F39" s="33"/>
      <c r="G39" s="69"/>
      <c r="H39" s="33"/>
      <c r="I39" s="37"/>
      <c r="J39" s="37"/>
      <c r="K39" s="37"/>
      <c r="L39" s="37"/>
      <c r="M39" s="69"/>
      <c r="N39" s="69"/>
      <c r="O39" s="46">
        <v>97.06</v>
      </c>
      <c r="P39" s="57" t="s">
        <v>203</v>
      </c>
      <c r="Q39" s="62"/>
      <c r="R39" s="62"/>
      <c r="S39" s="63"/>
      <c r="T39" s="63"/>
      <c r="U39" s="63"/>
      <c r="V39" s="63"/>
      <c r="W39" s="62"/>
      <c r="X39" s="620"/>
      <c r="Y39" s="11"/>
    </row>
    <row r="40" spans="1:25" ht="21" x14ac:dyDescent="0.2">
      <c r="A40" s="621" t="s">
        <v>204</v>
      </c>
      <c r="B40" s="24" t="s">
        <v>205</v>
      </c>
      <c r="C40" s="25" t="s">
        <v>47</v>
      </c>
      <c r="D40" s="674" t="s">
        <v>206</v>
      </c>
      <c r="E40" s="608"/>
      <c r="F40" s="33"/>
      <c r="G40" s="69"/>
      <c r="H40" s="33"/>
      <c r="I40" s="37"/>
      <c r="J40" s="37"/>
      <c r="K40" s="37"/>
      <c r="L40" s="37"/>
      <c r="M40" s="69"/>
      <c r="N40" s="69"/>
      <c r="O40" s="46">
        <v>57.779000000000003</v>
      </c>
      <c r="P40" s="57" t="s">
        <v>207</v>
      </c>
      <c r="Q40" s="62">
        <v>27.6</v>
      </c>
      <c r="R40" s="62" t="s">
        <v>1725</v>
      </c>
      <c r="S40" s="62">
        <v>128</v>
      </c>
      <c r="T40" s="62">
        <v>0</v>
      </c>
      <c r="U40" s="62">
        <v>9</v>
      </c>
      <c r="V40" s="62">
        <v>4</v>
      </c>
      <c r="W40" s="62">
        <v>0.47099999999999997</v>
      </c>
      <c r="X40" s="620" t="s">
        <v>1726</v>
      </c>
      <c r="Y40" s="11"/>
    </row>
    <row r="41" spans="1:25" ht="20.100000000000001" customHeight="1" x14ac:dyDescent="0.2">
      <c r="A41" s="621" t="s">
        <v>208</v>
      </c>
      <c r="B41" s="24" t="s">
        <v>209</v>
      </c>
      <c r="C41" s="25" t="s">
        <v>210</v>
      </c>
      <c r="D41" s="674" t="s">
        <v>211</v>
      </c>
      <c r="E41" s="608"/>
      <c r="F41" s="33"/>
      <c r="G41" s="69"/>
      <c r="H41" s="33"/>
      <c r="I41" s="37"/>
      <c r="J41" s="37"/>
      <c r="K41" s="37"/>
      <c r="L41" s="37"/>
      <c r="M41" s="69"/>
      <c r="N41" s="69"/>
      <c r="O41" s="46">
        <v>70.058000000000007</v>
      </c>
      <c r="P41" s="29" t="s">
        <v>212</v>
      </c>
      <c r="Q41" s="30">
        <v>68.8</v>
      </c>
      <c r="R41" s="62" t="s">
        <v>213</v>
      </c>
      <c r="S41" s="62">
        <v>451</v>
      </c>
      <c r="T41" s="62">
        <v>0</v>
      </c>
      <c r="U41" s="62">
        <v>3</v>
      </c>
      <c r="V41" s="62">
        <v>13</v>
      </c>
      <c r="W41" s="62">
        <f>0.4-0.306+70.364-68.7</f>
        <v>1.7579999999999956</v>
      </c>
      <c r="X41" s="620" t="s">
        <v>214</v>
      </c>
      <c r="Y41" s="11"/>
    </row>
    <row r="42" spans="1:25" ht="44.25" customHeight="1" x14ac:dyDescent="0.2">
      <c r="A42" s="621" t="s">
        <v>215</v>
      </c>
      <c r="B42" s="24" t="s">
        <v>216</v>
      </c>
      <c r="C42" s="25" t="s">
        <v>68</v>
      </c>
      <c r="D42" s="674" t="s">
        <v>217</v>
      </c>
      <c r="E42" s="608"/>
      <c r="F42" s="33"/>
      <c r="G42" s="69"/>
      <c r="H42" s="33"/>
      <c r="I42" s="37"/>
      <c r="J42" s="37"/>
      <c r="K42" s="37"/>
      <c r="L42" s="37"/>
      <c r="M42" s="69"/>
      <c r="N42" s="69"/>
      <c r="O42" s="46">
        <v>26.748000000000001</v>
      </c>
      <c r="P42" s="29" t="s">
        <v>218</v>
      </c>
      <c r="Q42" s="30"/>
      <c r="R42" s="62"/>
      <c r="S42" s="62"/>
      <c r="T42" s="62"/>
      <c r="U42" s="62"/>
      <c r="V42" s="62"/>
      <c r="W42" s="62"/>
      <c r="X42" s="620"/>
      <c r="Y42" s="11"/>
    </row>
    <row r="43" spans="1:25" ht="43.5" customHeight="1" x14ac:dyDescent="0.2">
      <c r="A43" s="621" t="s">
        <v>219</v>
      </c>
      <c r="B43" s="24" t="s">
        <v>220</v>
      </c>
      <c r="C43" s="25" t="s">
        <v>221</v>
      </c>
      <c r="D43" s="674" t="s">
        <v>222</v>
      </c>
      <c r="E43" s="611">
        <v>6.4020000000000001</v>
      </c>
      <c r="F43" s="76" t="s">
        <v>1745</v>
      </c>
      <c r="G43" s="79">
        <v>0</v>
      </c>
      <c r="H43" s="76"/>
      <c r="I43" s="78">
        <v>0</v>
      </c>
      <c r="J43" s="78">
        <v>0</v>
      </c>
      <c r="K43" s="78">
        <v>0</v>
      </c>
      <c r="L43" s="78">
        <v>0</v>
      </c>
      <c r="M43" s="76">
        <v>6.4020000000000001</v>
      </c>
      <c r="N43" s="76" t="s">
        <v>1746</v>
      </c>
      <c r="O43" s="46">
        <v>177.8</v>
      </c>
      <c r="P43" s="40" t="s">
        <v>223</v>
      </c>
      <c r="Q43" s="62">
        <v>0</v>
      </c>
      <c r="R43" s="62">
        <v>0</v>
      </c>
      <c r="S43" s="63">
        <v>0</v>
      </c>
      <c r="T43" s="63">
        <v>0</v>
      </c>
      <c r="U43" s="63">
        <v>0</v>
      </c>
      <c r="V43" s="63">
        <v>0</v>
      </c>
      <c r="W43" s="62">
        <v>90.2</v>
      </c>
      <c r="X43" s="620"/>
      <c r="Y43" s="11"/>
    </row>
    <row r="44" spans="1:25" ht="21" x14ac:dyDescent="0.2">
      <c r="A44" s="621" t="s">
        <v>224</v>
      </c>
      <c r="B44" s="24" t="s">
        <v>225</v>
      </c>
      <c r="C44" s="25" t="s">
        <v>47</v>
      </c>
      <c r="D44" s="674" t="s">
        <v>226</v>
      </c>
      <c r="E44" s="663"/>
      <c r="F44" s="82"/>
      <c r="G44" s="51"/>
      <c r="H44" s="82"/>
      <c r="I44" s="50"/>
      <c r="J44" s="50"/>
      <c r="K44" s="50"/>
      <c r="L44" s="50"/>
      <c r="M44" s="51"/>
      <c r="N44" s="51"/>
      <c r="O44" s="46">
        <v>26.561999999999998</v>
      </c>
      <c r="P44" s="28" t="s">
        <v>227</v>
      </c>
      <c r="Q44" s="46"/>
      <c r="R44" s="62"/>
      <c r="S44" s="62"/>
      <c r="T44" s="62"/>
      <c r="U44" s="62"/>
      <c r="V44" s="62"/>
      <c r="W44" s="62"/>
      <c r="X44" s="620"/>
      <c r="Y44" s="11"/>
    </row>
    <row r="45" spans="1:25" ht="53.25" customHeight="1" x14ac:dyDescent="0.2">
      <c r="A45" s="621" t="s">
        <v>228</v>
      </c>
      <c r="B45" s="24" t="s">
        <v>229</v>
      </c>
      <c r="C45" s="25" t="s">
        <v>210</v>
      </c>
      <c r="D45" s="674" t="s">
        <v>230</v>
      </c>
      <c r="E45" s="611">
        <v>16.420000000000002</v>
      </c>
      <c r="F45" s="76" t="s">
        <v>1750</v>
      </c>
      <c r="G45" s="79">
        <v>5.2080000000000002</v>
      </c>
      <c r="H45" s="76"/>
      <c r="I45" s="78">
        <v>7</v>
      </c>
      <c r="J45" s="78">
        <v>0</v>
      </c>
      <c r="K45" s="78">
        <v>0</v>
      </c>
      <c r="L45" s="78">
        <v>1</v>
      </c>
      <c r="M45" s="79">
        <v>11.712000000000002</v>
      </c>
      <c r="N45" s="79"/>
      <c r="O45" s="622">
        <v>7.5809999999999995</v>
      </c>
      <c r="P45" s="623" t="s">
        <v>1748</v>
      </c>
      <c r="Q45" s="41">
        <v>5.157</v>
      </c>
      <c r="R45" s="62" t="s">
        <v>1749</v>
      </c>
      <c r="S45" s="62">
        <v>9</v>
      </c>
      <c r="T45" s="62">
        <v>0</v>
      </c>
      <c r="U45" s="62">
        <v>0</v>
      </c>
      <c r="V45" s="62">
        <v>0</v>
      </c>
      <c r="W45" s="62"/>
      <c r="X45" s="620"/>
      <c r="Y45" s="11"/>
    </row>
    <row r="46" spans="1:25" ht="20.100000000000001" customHeight="1" x14ac:dyDescent="0.2">
      <c r="A46" s="621" t="s">
        <v>232</v>
      </c>
      <c r="B46" s="24" t="s">
        <v>233</v>
      </c>
      <c r="C46" s="25" t="s">
        <v>210</v>
      </c>
      <c r="D46" s="674" t="s">
        <v>234</v>
      </c>
      <c r="E46" s="608"/>
      <c r="F46" s="33"/>
      <c r="G46" s="69"/>
      <c r="H46" s="33"/>
      <c r="I46" s="37"/>
      <c r="J46" s="37"/>
      <c r="K46" s="37"/>
      <c r="L46" s="37"/>
      <c r="M46" s="69"/>
      <c r="N46" s="69"/>
      <c r="O46" s="46">
        <v>48.883000000000003</v>
      </c>
      <c r="P46" s="29" t="s">
        <v>1785</v>
      </c>
      <c r="Q46" s="29">
        <v>36.700000000000003</v>
      </c>
      <c r="R46" s="62" t="s">
        <v>235</v>
      </c>
      <c r="S46" s="62">
        <v>120</v>
      </c>
      <c r="T46" s="62">
        <v>0</v>
      </c>
      <c r="U46" s="62">
        <v>1</v>
      </c>
      <c r="V46" s="62">
        <v>7</v>
      </c>
      <c r="W46" s="62">
        <f>0.4-0.234</f>
        <v>0.16600000000000001</v>
      </c>
      <c r="X46" s="620" t="s">
        <v>236</v>
      </c>
      <c r="Y46" s="11"/>
    </row>
    <row r="47" spans="1:25" ht="53.25" customHeight="1" x14ac:dyDescent="0.2">
      <c r="A47" s="621" t="s">
        <v>237</v>
      </c>
      <c r="B47" s="24" t="s">
        <v>238</v>
      </c>
      <c r="C47" s="25" t="s">
        <v>68</v>
      </c>
      <c r="D47" s="674" t="s">
        <v>239</v>
      </c>
      <c r="E47" s="611">
        <v>6.9059999999999997</v>
      </c>
      <c r="F47" s="76" t="s">
        <v>240</v>
      </c>
      <c r="G47" s="79"/>
      <c r="H47" s="76"/>
      <c r="I47" s="78"/>
      <c r="J47" s="78"/>
      <c r="K47" s="78"/>
      <c r="L47" s="78"/>
      <c r="M47" s="79">
        <v>6.9059999999999997</v>
      </c>
      <c r="N47" s="79"/>
      <c r="O47" s="46"/>
      <c r="P47" s="29"/>
      <c r="Q47" s="29"/>
      <c r="R47" s="62"/>
      <c r="S47" s="62"/>
      <c r="T47" s="62"/>
      <c r="U47" s="62"/>
      <c r="V47" s="62"/>
      <c r="W47" s="62"/>
      <c r="X47" s="620"/>
      <c r="Y47" s="11"/>
    </row>
    <row r="48" spans="1:25" ht="18.75" customHeight="1" x14ac:dyDescent="0.2">
      <c r="A48" s="621" t="s">
        <v>241</v>
      </c>
      <c r="B48" s="24" t="s">
        <v>242</v>
      </c>
      <c r="C48" s="25" t="s">
        <v>210</v>
      </c>
      <c r="D48" s="674" t="s">
        <v>243</v>
      </c>
      <c r="E48" s="608"/>
      <c r="F48" s="33"/>
      <c r="G48" s="69"/>
      <c r="H48" s="33"/>
      <c r="I48" s="37"/>
      <c r="J48" s="37"/>
      <c r="K48" s="37"/>
      <c r="L48" s="37"/>
      <c r="M48" s="69"/>
      <c r="N48" s="69"/>
      <c r="O48" s="46">
        <v>2.3780000000000001</v>
      </c>
      <c r="P48" s="29" t="s">
        <v>244</v>
      </c>
      <c r="Q48" s="62">
        <v>0</v>
      </c>
      <c r="R48" s="62">
        <v>0</v>
      </c>
      <c r="S48" s="63">
        <v>0</v>
      </c>
      <c r="T48" s="63">
        <v>0</v>
      </c>
      <c r="U48" s="63">
        <v>0</v>
      </c>
      <c r="V48" s="63">
        <v>0</v>
      </c>
      <c r="W48" s="62">
        <v>1.1890000000000001</v>
      </c>
      <c r="X48" s="620"/>
      <c r="Y48" s="11"/>
    </row>
    <row r="49" spans="1:25" ht="51" customHeight="1" x14ac:dyDescent="0.2">
      <c r="A49" s="621" t="s">
        <v>245</v>
      </c>
      <c r="B49" s="24" t="s">
        <v>246</v>
      </c>
      <c r="C49" s="25" t="s">
        <v>210</v>
      </c>
      <c r="D49" s="674" t="s">
        <v>247</v>
      </c>
      <c r="E49" s="611">
        <v>54.543999999999997</v>
      </c>
      <c r="F49" s="472" t="s">
        <v>1752</v>
      </c>
      <c r="G49" s="74">
        <v>0</v>
      </c>
      <c r="H49" s="72"/>
      <c r="I49" s="78">
        <v>0</v>
      </c>
      <c r="J49" s="78">
        <v>0</v>
      </c>
      <c r="K49" s="78">
        <v>0</v>
      </c>
      <c r="L49" s="78">
        <v>0</v>
      </c>
      <c r="M49" s="74">
        <v>54.543999999999997</v>
      </c>
      <c r="N49" s="74"/>
      <c r="O49" s="622">
        <v>14.981999999999987</v>
      </c>
      <c r="P49" s="623" t="s">
        <v>1751</v>
      </c>
      <c r="Q49" s="62">
        <v>0</v>
      </c>
      <c r="R49" s="62">
        <v>0</v>
      </c>
      <c r="S49" s="63">
        <v>0</v>
      </c>
      <c r="T49" s="63">
        <v>0</v>
      </c>
      <c r="U49" s="63">
        <v>0</v>
      </c>
      <c r="V49" s="63">
        <v>0</v>
      </c>
      <c r="W49" s="62">
        <v>7.4909999999999934</v>
      </c>
      <c r="X49" s="620"/>
      <c r="Y49" s="11"/>
    </row>
    <row r="50" spans="1:25" ht="52.5" customHeight="1" x14ac:dyDescent="0.2">
      <c r="A50" s="621" t="s">
        <v>248</v>
      </c>
      <c r="B50" s="24" t="s">
        <v>249</v>
      </c>
      <c r="C50" s="25" t="s">
        <v>210</v>
      </c>
      <c r="D50" s="674" t="s">
        <v>250</v>
      </c>
      <c r="E50" s="611">
        <v>15.093</v>
      </c>
      <c r="F50" s="77" t="s">
        <v>253</v>
      </c>
      <c r="G50" s="79">
        <v>0</v>
      </c>
      <c r="H50" s="77"/>
      <c r="I50" s="78">
        <v>0</v>
      </c>
      <c r="J50" s="78">
        <v>0</v>
      </c>
      <c r="K50" s="78">
        <v>0</v>
      </c>
      <c r="L50" s="78">
        <v>0</v>
      </c>
      <c r="M50" s="79">
        <v>15.093</v>
      </c>
      <c r="N50" s="79"/>
      <c r="O50" s="30">
        <v>5.86</v>
      </c>
      <c r="P50" s="75" t="s">
        <v>251</v>
      </c>
      <c r="Q50" s="62">
        <v>0</v>
      </c>
      <c r="R50" s="62">
        <v>0</v>
      </c>
      <c r="S50" s="63">
        <v>0</v>
      </c>
      <c r="T50" s="63">
        <v>0</v>
      </c>
      <c r="U50" s="63">
        <v>0</v>
      </c>
      <c r="V50" s="63">
        <v>0</v>
      </c>
      <c r="W50" s="62">
        <v>20.952999999999999</v>
      </c>
      <c r="X50" s="620" t="s">
        <v>252</v>
      </c>
      <c r="Y50" s="11"/>
    </row>
    <row r="51" spans="1:25" ht="20.100000000000001" customHeight="1" x14ac:dyDescent="0.2">
      <c r="A51" s="621" t="s">
        <v>255</v>
      </c>
      <c r="B51" s="24" t="s">
        <v>256</v>
      </c>
      <c r="C51" s="25" t="s">
        <v>210</v>
      </c>
      <c r="D51" s="674" t="s">
        <v>257</v>
      </c>
      <c r="E51" s="609">
        <v>13.314</v>
      </c>
      <c r="F51" s="59" t="s">
        <v>258</v>
      </c>
      <c r="G51" s="61">
        <v>13.6</v>
      </c>
      <c r="H51" s="368" t="s">
        <v>259</v>
      </c>
      <c r="I51" s="368">
        <v>93</v>
      </c>
      <c r="J51" s="368">
        <v>0</v>
      </c>
      <c r="K51" s="368">
        <v>10</v>
      </c>
      <c r="L51" s="368">
        <v>0</v>
      </c>
      <c r="M51" s="368">
        <v>0</v>
      </c>
      <c r="N51" s="77">
        <v>0</v>
      </c>
      <c r="O51" s="590"/>
      <c r="P51" s="491"/>
      <c r="Q51" s="491"/>
      <c r="R51" s="492"/>
      <c r="S51" s="492"/>
      <c r="T51" s="492"/>
      <c r="U51" s="492"/>
      <c r="V51" s="492"/>
      <c r="W51" s="492"/>
      <c r="X51" s="624"/>
      <c r="Y51" s="11"/>
    </row>
    <row r="52" spans="1:25" ht="37.5" customHeight="1" x14ac:dyDescent="0.2">
      <c r="A52" s="621" t="s">
        <v>260</v>
      </c>
      <c r="B52" s="24" t="s">
        <v>261</v>
      </c>
      <c r="C52" s="25" t="s">
        <v>210</v>
      </c>
      <c r="D52" s="674" t="s">
        <v>262</v>
      </c>
      <c r="E52" s="608"/>
      <c r="F52" s="33"/>
      <c r="G52" s="69"/>
      <c r="H52" s="33"/>
      <c r="I52" s="37"/>
      <c r="J52" s="37"/>
      <c r="K52" s="37"/>
      <c r="L52" s="37"/>
      <c r="M52" s="69"/>
      <c r="N52" s="69"/>
      <c r="O52" s="46">
        <v>83.613</v>
      </c>
      <c r="P52" s="40" t="s">
        <v>263</v>
      </c>
      <c r="Q52" s="40">
        <v>61.9</v>
      </c>
      <c r="R52" s="62" t="s">
        <v>264</v>
      </c>
      <c r="S52" s="62">
        <v>303</v>
      </c>
      <c r="T52" s="62">
        <v>0</v>
      </c>
      <c r="U52" s="62">
        <v>13</v>
      </c>
      <c r="V52" s="62">
        <v>72</v>
      </c>
      <c r="W52" s="62">
        <v>0.3</v>
      </c>
      <c r="X52" s="620" t="s">
        <v>265</v>
      </c>
      <c r="Y52" s="11"/>
    </row>
    <row r="53" spans="1:25" ht="20.100000000000001" customHeight="1" x14ac:dyDescent="0.2">
      <c r="A53" s="621" t="s">
        <v>266</v>
      </c>
      <c r="B53" s="24" t="s">
        <v>267</v>
      </c>
      <c r="C53" s="25" t="s">
        <v>47</v>
      </c>
      <c r="D53" s="674" t="s">
        <v>268</v>
      </c>
      <c r="E53" s="608"/>
      <c r="F53" s="33"/>
      <c r="G53" s="69"/>
      <c r="H53" s="33"/>
      <c r="I53" s="37"/>
      <c r="J53" s="37"/>
      <c r="K53" s="37"/>
      <c r="L53" s="37"/>
      <c r="M53" s="69"/>
      <c r="N53" s="69"/>
      <c r="O53" s="46">
        <v>39.496000000000002</v>
      </c>
      <c r="P53" s="57" t="s">
        <v>269</v>
      </c>
      <c r="Q53" s="57"/>
      <c r="R53" s="62"/>
      <c r="S53" s="62"/>
      <c r="T53" s="62"/>
      <c r="U53" s="62"/>
      <c r="V53" s="62"/>
      <c r="W53" s="62"/>
      <c r="X53" s="620"/>
      <c r="Y53" s="11"/>
    </row>
    <row r="54" spans="1:25" ht="21" x14ac:dyDescent="0.2">
      <c r="A54" s="621" t="s">
        <v>270</v>
      </c>
      <c r="B54" s="498" t="s">
        <v>271</v>
      </c>
      <c r="C54" s="25" t="s">
        <v>42</v>
      </c>
      <c r="D54" s="674" t="s">
        <v>272</v>
      </c>
      <c r="E54" s="663"/>
      <c r="F54" s="82"/>
      <c r="G54" s="51"/>
      <c r="H54" s="82"/>
      <c r="I54" s="50"/>
      <c r="J54" s="50"/>
      <c r="K54" s="50"/>
      <c r="L54" s="50"/>
      <c r="M54" s="51"/>
      <c r="N54" s="51"/>
      <c r="O54" s="46">
        <v>65.583999999999975</v>
      </c>
      <c r="P54" s="40" t="s">
        <v>274</v>
      </c>
      <c r="Q54" s="40"/>
      <c r="R54" s="62"/>
      <c r="S54" s="62"/>
      <c r="T54" s="62"/>
      <c r="U54" s="62"/>
      <c r="V54" s="62"/>
      <c r="W54" s="62">
        <v>33</v>
      </c>
      <c r="X54" s="620"/>
      <c r="Y54" s="11"/>
    </row>
    <row r="55" spans="1:25" ht="20.100000000000001" customHeight="1" x14ac:dyDescent="0.2">
      <c r="A55" s="621" t="s">
        <v>275</v>
      </c>
      <c r="B55" s="24" t="s">
        <v>276</v>
      </c>
      <c r="C55" s="25" t="s">
        <v>36</v>
      </c>
      <c r="D55" s="674" t="s">
        <v>277</v>
      </c>
      <c r="E55" s="611">
        <v>0.61199999999999999</v>
      </c>
      <c r="F55" s="76" t="s">
        <v>279</v>
      </c>
      <c r="G55" s="79"/>
      <c r="H55" s="76"/>
      <c r="I55" s="78"/>
      <c r="J55" s="78"/>
      <c r="K55" s="78"/>
      <c r="L55" s="78"/>
      <c r="M55" s="79"/>
      <c r="N55" s="79"/>
      <c r="O55" s="46">
        <v>0.45</v>
      </c>
      <c r="P55" s="29" t="s">
        <v>278</v>
      </c>
      <c r="Q55" s="29"/>
      <c r="R55" s="62"/>
      <c r="S55" s="62"/>
      <c r="T55" s="62"/>
      <c r="U55" s="62"/>
      <c r="V55" s="62"/>
      <c r="W55" s="62"/>
      <c r="X55" s="620"/>
      <c r="Y55" s="11"/>
    </row>
    <row r="56" spans="1:25" ht="18" customHeight="1" x14ac:dyDescent="0.2">
      <c r="A56" s="621" t="s">
        <v>280</v>
      </c>
      <c r="B56" s="24" t="s">
        <v>281</v>
      </c>
      <c r="C56" s="25" t="s">
        <v>93</v>
      </c>
      <c r="D56" s="674" t="s">
        <v>282</v>
      </c>
      <c r="E56" s="664"/>
      <c r="F56" s="33"/>
      <c r="G56" s="69"/>
      <c r="H56" s="33"/>
      <c r="I56" s="37"/>
      <c r="J56" s="37"/>
      <c r="K56" s="37"/>
      <c r="L56" s="37"/>
      <c r="M56" s="69"/>
      <c r="N56" s="69"/>
      <c r="O56" s="46">
        <v>37.204000000000001</v>
      </c>
      <c r="P56" s="40" t="s">
        <v>283</v>
      </c>
      <c r="Q56" s="40"/>
      <c r="R56" s="62"/>
      <c r="S56" s="62"/>
      <c r="T56" s="62"/>
      <c r="U56" s="62"/>
      <c r="V56" s="62"/>
      <c r="W56" s="62"/>
      <c r="X56" s="620"/>
      <c r="Y56" s="11"/>
    </row>
    <row r="57" spans="1:25" ht="20.100000000000001" customHeight="1" x14ac:dyDescent="0.2">
      <c r="A57" s="621" t="s">
        <v>284</v>
      </c>
      <c r="B57" s="24" t="s">
        <v>285</v>
      </c>
      <c r="C57" s="25" t="s">
        <v>47</v>
      </c>
      <c r="D57" s="674" t="s">
        <v>286</v>
      </c>
      <c r="E57" s="608"/>
      <c r="F57" s="33"/>
      <c r="G57" s="69"/>
      <c r="H57" s="33"/>
      <c r="I57" s="37"/>
      <c r="J57" s="37"/>
      <c r="K57" s="37"/>
      <c r="L57" s="37"/>
      <c r="M57" s="69"/>
      <c r="N57" s="69"/>
      <c r="O57" s="46">
        <v>59.123999999999995</v>
      </c>
      <c r="P57" s="28" t="s">
        <v>287</v>
      </c>
      <c r="Q57" s="28"/>
      <c r="R57" s="62"/>
      <c r="S57" s="62"/>
      <c r="T57" s="62"/>
      <c r="U57" s="62"/>
      <c r="V57" s="62"/>
      <c r="W57" s="62"/>
      <c r="X57" s="620"/>
      <c r="Y57" s="11"/>
    </row>
    <row r="58" spans="1:25" ht="20.100000000000001" customHeight="1" x14ac:dyDescent="0.2">
      <c r="A58" s="621" t="s">
        <v>288</v>
      </c>
      <c r="B58" s="24" t="s">
        <v>289</v>
      </c>
      <c r="C58" s="25" t="s">
        <v>47</v>
      </c>
      <c r="D58" s="674" t="s">
        <v>290</v>
      </c>
      <c r="E58" s="608"/>
      <c r="F58" s="33"/>
      <c r="G58" s="69"/>
      <c r="H58" s="33"/>
      <c r="I58" s="37"/>
      <c r="J58" s="37"/>
      <c r="K58" s="37"/>
      <c r="L58" s="37"/>
      <c r="M58" s="69"/>
      <c r="N58" s="69"/>
      <c r="O58" s="46">
        <v>16.623000000000001</v>
      </c>
      <c r="P58" s="28" t="s">
        <v>291</v>
      </c>
      <c r="Q58" s="28"/>
      <c r="R58" s="62"/>
      <c r="S58" s="62"/>
      <c r="T58" s="62"/>
      <c r="U58" s="62"/>
      <c r="V58" s="62"/>
      <c r="W58" s="62"/>
      <c r="X58" s="620"/>
      <c r="Y58" s="11"/>
    </row>
    <row r="59" spans="1:25" ht="20.100000000000001" customHeight="1" x14ac:dyDescent="0.2">
      <c r="A59" s="621" t="s">
        <v>292</v>
      </c>
      <c r="B59" s="24" t="s">
        <v>293</v>
      </c>
      <c r="C59" s="25" t="s">
        <v>36</v>
      </c>
      <c r="D59" s="674" t="s">
        <v>294</v>
      </c>
      <c r="E59" s="663"/>
      <c r="F59" s="82"/>
      <c r="G59" s="51"/>
      <c r="H59" s="82"/>
      <c r="I59" s="50"/>
      <c r="J59" s="50"/>
      <c r="K59" s="50"/>
      <c r="L59" s="50"/>
      <c r="M59" s="51"/>
      <c r="N59" s="51"/>
      <c r="O59" s="46">
        <v>32.338000000000001</v>
      </c>
      <c r="P59" s="29" t="s">
        <v>295</v>
      </c>
      <c r="Q59" s="29"/>
      <c r="R59" s="62"/>
      <c r="S59" s="62"/>
      <c r="T59" s="62"/>
      <c r="U59" s="62"/>
      <c r="V59" s="62"/>
      <c r="W59" s="62"/>
      <c r="X59" s="620"/>
      <c r="Y59" s="11"/>
    </row>
    <row r="60" spans="1:25" ht="20.100000000000001" customHeight="1" x14ac:dyDescent="0.2">
      <c r="A60" s="621" t="s">
        <v>296</v>
      </c>
      <c r="B60" s="24" t="s">
        <v>297</v>
      </c>
      <c r="C60" s="25" t="s">
        <v>36</v>
      </c>
      <c r="D60" s="674" t="s">
        <v>298</v>
      </c>
      <c r="E60" s="608"/>
      <c r="F60" s="33"/>
      <c r="G60" s="69"/>
      <c r="H60" s="33"/>
      <c r="I60" s="37"/>
      <c r="J60" s="37"/>
      <c r="K60" s="37"/>
      <c r="L60" s="37"/>
      <c r="M60" s="69"/>
      <c r="N60" s="69"/>
      <c r="O60" s="46">
        <v>8.9540000000000006</v>
      </c>
      <c r="P60" s="29" t="s">
        <v>299</v>
      </c>
      <c r="Q60" s="29"/>
      <c r="R60" s="62"/>
      <c r="S60" s="62"/>
      <c r="T60" s="62"/>
      <c r="U60" s="62"/>
      <c r="V60" s="62"/>
      <c r="W60" s="62"/>
      <c r="X60" s="620"/>
      <c r="Y60" s="11"/>
    </row>
    <row r="61" spans="1:25" ht="20.100000000000001" customHeight="1" x14ac:dyDescent="0.2">
      <c r="A61" s="621" t="s">
        <v>300</v>
      </c>
      <c r="B61" s="24" t="s">
        <v>301</v>
      </c>
      <c r="C61" s="25" t="s">
        <v>36</v>
      </c>
      <c r="D61" s="674" t="s">
        <v>302</v>
      </c>
      <c r="E61" s="663"/>
      <c r="F61" s="82"/>
      <c r="G61" s="51"/>
      <c r="H61" s="82"/>
      <c r="I61" s="50"/>
      <c r="J61" s="50"/>
      <c r="K61" s="50"/>
      <c r="L61" s="50"/>
      <c r="M61" s="51"/>
      <c r="N61" s="51"/>
      <c r="O61" s="46">
        <v>10.523999999999999</v>
      </c>
      <c r="P61" s="29" t="s">
        <v>304</v>
      </c>
      <c r="Q61" s="30"/>
      <c r="R61" s="62"/>
      <c r="S61" s="62"/>
      <c r="T61" s="62"/>
      <c r="U61" s="62"/>
      <c r="V61" s="62"/>
      <c r="W61" s="62">
        <v>6</v>
      </c>
      <c r="X61" s="620"/>
      <c r="Y61" s="11"/>
    </row>
    <row r="62" spans="1:25" x14ac:dyDescent="0.2">
      <c r="A62" s="621" t="s">
        <v>305</v>
      </c>
      <c r="B62" s="498" t="s">
        <v>306</v>
      </c>
      <c r="C62" s="25" t="s">
        <v>36</v>
      </c>
      <c r="D62" s="674" t="s">
        <v>307</v>
      </c>
      <c r="E62" s="608"/>
      <c r="F62" s="33"/>
      <c r="G62" s="69"/>
      <c r="H62" s="33"/>
      <c r="I62" s="37"/>
      <c r="J62" s="37"/>
      <c r="K62" s="37"/>
      <c r="L62" s="37"/>
      <c r="M62" s="69"/>
      <c r="N62" s="69"/>
      <c r="O62" s="46">
        <v>1.0029999999999983</v>
      </c>
      <c r="P62" s="40" t="s">
        <v>308</v>
      </c>
      <c r="Q62" s="41"/>
      <c r="R62" s="62"/>
      <c r="S62" s="62"/>
      <c r="T62" s="62"/>
      <c r="U62" s="62"/>
      <c r="V62" s="62"/>
      <c r="W62" s="62"/>
      <c r="X62" s="620"/>
      <c r="Y62" s="11"/>
    </row>
    <row r="63" spans="1:25" ht="20.100000000000001" customHeight="1" x14ac:dyDescent="0.2">
      <c r="A63" s="621" t="s">
        <v>309</v>
      </c>
      <c r="B63" s="24" t="s">
        <v>310</v>
      </c>
      <c r="C63" s="25" t="s">
        <v>36</v>
      </c>
      <c r="D63" s="674" t="s">
        <v>311</v>
      </c>
      <c r="E63" s="608"/>
      <c r="F63" s="33"/>
      <c r="G63" s="69"/>
      <c r="H63" s="33"/>
      <c r="I63" s="37"/>
      <c r="J63" s="37"/>
      <c r="K63" s="37"/>
      <c r="L63" s="37"/>
      <c r="M63" s="69"/>
      <c r="N63" s="69"/>
      <c r="O63" s="46">
        <v>30.63300000000001</v>
      </c>
      <c r="P63" s="29" t="s">
        <v>312</v>
      </c>
      <c r="Q63" s="30"/>
      <c r="R63" s="62"/>
      <c r="S63" s="62"/>
      <c r="T63" s="62"/>
      <c r="U63" s="62"/>
      <c r="V63" s="62"/>
      <c r="W63" s="62"/>
      <c r="X63" s="620"/>
      <c r="Y63" s="11"/>
    </row>
    <row r="64" spans="1:25" ht="20.100000000000001" customHeight="1" x14ac:dyDescent="0.2">
      <c r="A64" s="621" t="s">
        <v>313</v>
      </c>
      <c r="B64" s="498" t="s">
        <v>314</v>
      </c>
      <c r="C64" s="25" t="s">
        <v>36</v>
      </c>
      <c r="D64" s="674" t="s">
        <v>315</v>
      </c>
      <c r="E64" s="608"/>
      <c r="F64" s="33"/>
      <c r="G64" s="69"/>
      <c r="H64" s="33"/>
      <c r="I64" s="37"/>
      <c r="J64" s="37"/>
      <c r="K64" s="37"/>
      <c r="L64" s="37"/>
      <c r="M64" s="69"/>
      <c r="N64" s="69"/>
      <c r="O64" s="46">
        <v>46.783999999999999</v>
      </c>
      <c r="P64" s="29" t="s">
        <v>1803</v>
      </c>
      <c r="Q64" s="30"/>
      <c r="R64" s="62"/>
      <c r="S64" s="62"/>
      <c r="T64" s="62"/>
      <c r="U64" s="62"/>
      <c r="V64" s="62"/>
      <c r="W64" s="62"/>
      <c r="X64" s="620"/>
      <c r="Y64" s="11"/>
    </row>
    <row r="65" spans="1:25" ht="20.100000000000001" customHeight="1" x14ac:dyDescent="0.2">
      <c r="A65" s="621" t="s">
        <v>316</v>
      </c>
      <c r="B65" s="498" t="s">
        <v>317</v>
      </c>
      <c r="C65" s="25" t="s">
        <v>36</v>
      </c>
      <c r="D65" s="674" t="s">
        <v>318</v>
      </c>
      <c r="E65" s="608"/>
      <c r="F65" s="33"/>
      <c r="G65" s="69"/>
      <c r="H65" s="33"/>
      <c r="I65" s="37"/>
      <c r="J65" s="37"/>
      <c r="K65" s="37"/>
      <c r="L65" s="37"/>
      <c r="M65" s="69"/>
      <c r="N65" s="69"/>
      <c r="O65" s="46">
        <v>0.89600000000000002</v>
      </c>
      <c r="P65" s="29" t="s">
        <v>319</v>
      </c>
      <c r="Q65" s="30"/>
      <c r="R65" s="62"/>
      <c r="S65" s="62"/>
      <c r="T65" s="62"/>
      <c r="U65" s="62"/>
      <c r="V65" s="62"/>
      <c r="W65" s="62"/>
      <c r="X65" s="620"/>
      <c r="Y65" s="11"/>
    </row>
    <row r="66" spans="1:25" ht="20.100000000000001" customHeight="1" x14ac:dyDescent="0.2">
      <c r="A66" s="621" t="s">
        <v>320</v>
      </c>
      <c r="B66" s="498" t="s">
        <v>321</v>
      </c>
      <c r="C66" s="25" t="s">
        <v>36</v>
      </c>
      <c r="D66" s="674" t="s">
        <v>322</v>
      </c>
      <c r="E66" s="611">
        <v>0.68200000000000005</v>
      </c>
      <c r="F66" s="76" t="s">
        <v>323</v>
      </c>
      <c r="G66" s="79"/>
      <c r="H66" s="76"/>
      <c r="I66" s="78"/>
      <c r="J66" s="78"/>
      <c r="K66" s="78"/>
      <c r="L66" s="78"/>
      <c r="M66" s="79"/>
      <c r="N66" s="79"/>
      <c r="O66" s="46">
        <v>4.0990000000000002</v>
      </c>
      <c r="P66" s="29" t="s">
        <v>1804</v>
      </c>
      <c r="Q66" s="30"/>
      <c r="R66" s="62"/>
      <c r="S66" s="62"/>
      <c r="T66" s="62"/>
      <c r="U66" s="62"/>
      <c r="V66" s="62"/>
      <c r="W66" s="62">
        <v>3</v>
      </c>
      <c r="X66" s="620"/>
      <c r="Y66" s="11"/>
    </row>
    <row r="67" spans="1:25" ht="20.100000000000001" customHeight="1" x14ac:dyDescent="0.2">
      <c r="A67" s="621" t="s">
        <v>325</v>
      </c>
      <c r="B67" s="24" t="s">
        <v>326</v>
      </c>
      <c r="C67" s="25" t="s">
        <v>36</v>
      </c>
      <c r="D67" s="674" t="s">
        <v>327</v>
      </c>
      <c r="E67" s="609">
        <v>2.0750000000000011</v>
      </c>
      <c r="F67" s="98" t="s">
        <v>329</v>
      </c>
      <c r="G67" s="79">
        <v>2.5</v>
      </c>
      <c r="H67" s="76" t="s">
        <v>330</v>
      </c>
      <c r="I67" s="78">
        <v>11</v>
      </c>
      <c r="J67" s="78">
        <v>0</v>
      </c>
      <c r="K67" s="78">
        <v>2</v>
      </c>
      <c r="L67" s="78">
        <v>0</v>
      </c>
      <c r="M67" s="61"/>
      <c r="N67" s="79"/>
      <c r="O67" s="46">
        <v>0.56499999999999995</v>
      </c>
      <c r="P67" s="29" t="s">
        <v>328</v>
      </c>
      <c r="Q67" s="30"/>
      <c r="R67" s="62"/>
      <c r="S67" s="62"/>
      <c r="T67" s="62"/>
      <c r="U67" s="62"/>
      <c r="V67" s="62"/>
      <c r="W67" s="62"/>
      <c r="X67" s="620"/>
      <c r="Y67" s="11"/>
    </row>
    <row r="68" spans="1:25" ht="25.5" customHeight="1" x14ac:dyDescent="0.2">
      <c r="A68" s="621" t="s">
        <v>331</v>
      </c>
      <c r="B68" s="498" t="s">
        <v>332</v>
      </c>
      <c r="C68" s="25" t="s">
        <v>36</v>
      </c>
      <c r="D68" s="674" t="s">
        <v>333</v>
      </c>
      <c r="E68" s="609">
        <v>2.1999999999999957</v>
      </c>
      <c r="F68" s="98" t="s">
        <v>334</v>
      </c>
      <c r="G68" s="61"/>
      <c r="H68" s="98"/>
      <c r="I68" s="60"/>
      <c r="J68" s="60"/>
      <c r="K68" s="60"/>
      <c r="L68" s="60"/>
      <c r="M68" s="61"/>
      <c r="N68" s="61"/>
      <c r="O68" s="46">
        <v>22.004000000000001</v>
      </c>
      <c r="P68" s="40" t="s">
        <v>1805</v>
      </c>
      <c r="Q68" s="41"/>
      <c r="R68" s="62"/>
      <c r="S68" s="62"/>
      <c r="T68" s="62"/>
      <c r="U68" s="62"/>
      <c r="V68" s="62"/>
      <c r="W68" s="62"/>
      <c r="X68" s="620"/>
      <c r="Y68" s="11"/>
    </row>
    <row r="69" spans="1:25" ht="20.100000000000001" customHeight="1" x14ac:dyDescent="0.2">
      <c r="A69" s="621" t="s">
        <v>336</v>
      </c>
      <c r="B69" s="498" t="s">
        <v>337</v>
      </c>
      <c r="C69" s="25" t="s">
        <v>36</v>
      </c>
      <c r="D69" s="674" t="s">
        <v>338</v>
      </c>
      <c r="E69" s="611">
        <v>0.52500000000000002</v>
      </c>
      <c r="F69" s="76" t="s">
        <v>340</v>
      </c>
      <c r="G69" s="79"/>
      <c r="H69" s="76"/>
      <c r="I69" s="78"/>
      <c r="J69" s="78"/>
      <c r="K69" s="78"/>
      <c r="L69" s="78"/>
      <c r="M69" s="79"/>
      <c r="N69" s="79"/>
      <c r="O69" s="46">
        <v>1.827</v>
      </c>
      <c r="P69" s="29" t="s">
        <v>339</v>
      </c>
      <c r="Q69" s="30"/>
      <c r="R69" s="62"/>
      <c r="S69" s="62"/>
      <c r="T69" s="62"/>
      <c r="U69" s="62"/>
      <c r="V69" s="62"/>
      <c r="W69" s="62"/>
      <c r="X69" s="620"/>
      <c r="Y69" s="11"/>
    </row>
    <row r="70" spans="1:25" ht="20.100000000000001" customHeight="1" x14ac:dyDescent="0.2">
      <c r="A70" s="621" t="s">
        <v>341</v>
      </c>
      <c r="B70" s="24" t="s">
        <v>342</v>
      </c>
      <c r="C70" s="25" t="s">
        <v>36</v>
      </c>
      <c r="D70" s="674" t="s">
        <v>343</v>
      </c>
      <c r="E70" s="663"/>
      <c r="F70" s="82"/>
      <c r="G70" s="51"/>
      <c r="H70" s="82"/>
      <c r="I70" s="50"/>
      <c r="J70" s="50"/>
      <c r="K70" s="50"/>
      <c r="L70" s="50"/>
      <c r="M70" s="51"/>
      <c r="N70" s="51"/>
      <c r="O70" s="46">
        <v>22.368000000000002</v>
      </c>
      <c r="P70" s="29" t="s">
        <v>344</v>
      </c>
      <c r="Q70" s="30"/>
      <c r="R70" s="62"/>
      <c r="S70" s="62"/>
      <c r="T70" s="62"/>
      <c r="U70" s="62"/>
      <c r="V70" s="62"/>
      <c r="W70" s="62"/>
      <c r="X70" s="620"/>
      <c r="Y70" s="11"/>
    </row>
    <row r="71" spans="1:25" ht="20.100000000000001" customHeight="1" x14ac:dyDescent="0.2">
      <c r="A71" s="621" t="s">
        <v>345</v>
      </c>
      <c r="B71" s="24" t="s">
        <v>346</v>
      </c>
      <c r="C71" s="25" t="s">
        <v>36</v>
      </c>
      <c r="D71" s="674" t="s">
        <v>347</v>
      </c>
      <c r="E71" s="608"/>
      <c r="F71" s="33"/>
      <c r="G71" s="69"/>
      <c r="H71" s="33"/>
      <c r="I71" s="37"/>
      <c r="J71" s="37"/>
      <c r="K71" s="37"/>
      <c r="L71" s="37"/>
      <c r="M71" s="69"/>
      <c r="N71" s="69"/>
      <c r="O71" s="46">
        <v>35.08</v>
      </c>
      <c r="P71" s="29" t="s">
        <v>348</v>
      </c>
      <c r="Q71" s="30"/>
      <c r="R71" s="62"/>
      <c r="S71" s="62"/>
      <c r="T71" s="62"/>
      <c r="U71" s="62"/>
      <c r="V71" s="62"/>
      <c r="W71" s="62"/>
      <c r="X71" s="620"/>
      <c r="Y71" s="11"/>
    </row>
    <row r="72" spans="1:25" ht="20.100000000000001" customHeight="1" x14ac:dyDescent="0.2">
      <c r="A72" s="621" t="s">
        <v>349</v>
      </c>
      <c r="B72" s="498" t="s">
        <v>1698</v>
      </c>
      <c r="C72" s="25" t="s">
        <v>36</v>
      </c>
      <c r="D72" s="674" t="s">
        <v>350</v>
      </c>
      <c r="E72" s="608"/>
      <c r="F72" s="33"/>
      <c r="G72" s="69"/>
      <c r="H72" s="33"/>
      <c r="I72" s="37"/>
      <c r="J72" s="37"/>
      <c r="K72" s="37"/>
      <c r="L72" s="37"/>
      <c r="M72" s="69"/>
      <c r="N72" s="69"/>
      <c r="O72" s="46">
        <v>11.170999999999999</v>
      </c>
      <c r="P72" s="29" t="s">
        <v>1699</v>
      </c>
      <c r="Q72" s="30"/>
      <c r="R72" s="62"/>
      <c r="S72" s="62"/>
      <c r="T72" s="62"/>
      <c r="U72" s="62"/>
      <c r="V72" s="62"/>
      <c r="W72" s="62"/>
      <c r="X72" s="620"/>
      <c r="Y72" s="11"/>
    </row>
    <row r="73" spans="1:25" ht="20.100000000000001" customHeight="1" x14ac:dyDescent="0.2">
      <c r="A73" s="621" t="s">
        <v>351</v>
      </c>
      <c r="B73" s="498" t="s">
        <v>1806</v>
      </c>
      <c r="C73" s="25" t="s">
        <v>36</v>
      </c>
      <c r="D73" s="674" t="s">
        <v>352</v>
      </c>
      <c r="E73" s="609">
        <v>1.5589999999999999</v>
      </c>
      <c r="F73" s="98" t="s">
        <v>1701</v>
      </c>
      <c r="G73" s="61"/>
      <c r="H73" s="98"/>
      <c r="I73" s="60"/>
      <c r="J73" s="60"/>
      <c r="K73" s="60"/>
      <c r="L73" s="60"/>
      <c r="M73" s="61"/>
      <c r="N73" s="61"/>
      <c r="O73" s="46">
        <v>1.7290000000000001</v>
      </c>
      <c r="P73" s="29" t="s">
        <v>1700</v>
      </c>
      <c r="Q73" s="30"/>
      <c r="R73" s="62"/>
      <c r="S73" s="62"/>
      <c r="T73" s="62"/>
      <c r="U73" s="62"/>
      <c r="V73" s="62"/>
      <c r="W73" s="62"/>
      <c r="X73" s="620"/>
      <c r="Y73" s="11"/>
    </row>
    <row r="74" spans="1:25" ht="20.100000000000001" customHeight="1" x14ac:dyDescent="0.2">
      <c r="A74" s="621" t="s">
        <v>353</v>
      </c>
      <c r="B74" s="24" t="s">
        <v>354</v>
      </c>
      <c r="C74" s="25" t="s">
        <v>36</v>
      </c>
      <c r="D74" s="674" t="s">
        <v>355</v>
      </c>
      <c r="E74" s="608"/>
      <c r="F74" s="33"/>
      <c r="G74" s="69"/>
      <c r="H74" s="33"/>
      <c r="I74" s="37"/>
      <c r="J74" s="37"/>
      <c r="K74" s="37"/>
      <c r="L74" s="37"/>
      <c r="M74" s="69"/>
      <c r="N74" s="69"/>
      <c r="O74" s="46">
        <v>1.8360000000000001</v>
      </c>
      <c r="P74" s="29" t="s">
        <v>356</v>
      </c>
      <c r="Q74" s="30"/>
      <c r="R74" s="62"/>
      <c r="S74" s="62"/>
      <c r="T74" s="62"/>
      <c r="U74" s="62"/>
      <c r="V74" s="62"/>
      <c r="W74" s="62"/>
      <c r="X74" s="620"/>
      <c r="Y74" s="11"/>
    </row>
    <row r="75" spans="1:25" ht="20.100000000000001" customHeight="1" x14ac:dyDescent="0.2">
      <c r="A75" s="621" t="s">
        <v>357</v>
      </c>
      <c r="B75" s="24" t="s">
        <v>358</v>
      </c>
      <c r="C75" s="25" t="s">
        <v>36</v>
      </c>
      <c r="D75" s="674" t="s">
        <v>359</v>
      </c>
      <c r="E75" s="608"/>
      <c r="F75" s="33"/>
      <c r="G75" s="69"/>
      <c r="H75" s="33"/>
      <c r="I75" s="37"/>
      <c r="J75" s="37"/>
      <c r="K75" s="37"/>
      <c r="L75" s="37"/>
      <c r="M75" s="69"/>
      <c r="N75" s="69"/>
      <c r="O75" s="46">
        <v>2.4769999999999999</v>
      </c>
      <c r="P75" s="29" t="s">
        <v>360</v>
      </c>
      <c r="Q75" s="30"/>
      <c r="R75" s="62"/>
      <c r="S75" s="62"/>
      <c r="T75" s="62"/>
      <c r="U75" s="62"/>
      <c r="V75" s="62"/>
      <c r="W75" s="62"/>
      <c r="X75" s="620"/>
      <c r="Y75" s="11"/>
    </row>
    <row r="76" spans="1:25" ht="20.100000000000001" customHeight="1" x14ac:dyDescent="0.2">
      <c r="A76" s="621" t="s">
        <v>361</v>
      </c>
      <c r="B76" s="24" t="s">
        <v>362</v>
      </c>
      <c r="C76" s="25" t="s">
        <v>36</v>
      </c>
      <c r="D76" s="674" t="s">
        <v>363</v>
      </c>
      <c r="E76" s="611">
        <v>2.4700000000000002</v>
      </c>
      <c r="F76" s="77" t="s">
        <v>364</v>
      </c>
      <c r="G76" s="79"/>
      <c r="H76" s="77"/>
      <c r="I76" s="78"/>
      <c r="J76" s="78"/>
      <c r="K76" s="78"/>
      <c r="L76" s="78"/>
      <c r="M76" s="79"/>
      <c r="N76" s="79"/>
      <c r="O76" s="591"/>
      <c r="P76" s="351"/>
      <c r="Q76" s="352"/>
      <c r="R76" s="353"/>
      <c r="S76" s="353"/>
      <c r="T76" s="353"/>
      <c r="U76" s="353"/>
      <c r="V76" s="353"/>
      <c r="W76" s="353"/>
      <c r="X76" s="625"/>
      <c r="Y76" s="11"/>
    </row>
    <row r="77" spans="1:25" ht="20.100000000000001" customHeight="1" x14ac:dyDescent="0.2">
      <c r="A77" s="621" t="s">
        <v>366</v>
      </c>
      <c r="B77" s="24" t="s">
        <v>367</v>
      </c>
      <c r="C77" s="25" t="s">
        <v>36</v>
      </c>
      <c r="D77" s="674" t="s">
        <v>368</v>
      </c>
      <c r="E77" s="609">
        <v>36.561999999999998</v>
      </c>
      <c r="F77" s="71" t="s">
        <v>1707</v>
      </c>
      <c r="G77" s="79">
        <v>38.700000000000003</v>
      </c>
      <c r="H77" s="77" t="s">
        <v>369</v>
      </c>
      <c r="I77" s="78">
        <v>284</v>
      </c>
      <c r="J77" s="78">
        <v>0</v>
      </c>
      <c r="K77" s="78">
        <v>126</v>
      </c>
      <c r="L77" s="78">
        <v>0</v>
      </c>
      <c r="M77" s="79"/>
      <c r="N77" s="79"/>
      <c r="O77" s="46">
        <v>1.712</v>
      </c>
      <c r="P77" s="28" t="s">
        <v>1706</v>
      </c>
      <c r="Q77" s="28"/>
      <c r="R77" s="62"/>
      <c r="S77" s="62"/>
      <c r="T77" s="62"/>
      <c r="U77" s="62"/>
      <c r="V77" s="62"/>
      <c r="W77" s="62"/>
      <c r="X77" s="620"/>
      <c r="Y77" s="11"/>
    </row>
    <row r="78" spans="1:25" ht="19.5" customHeight="1" x14ac:dyDescent="0.2">
      <c r="A78" s="621" t="s">
        <v>371</v>
      </c>
      <c r="B78" s="24" t="s">
        <v>372</v>
      </c>
      <c r="C78" s="25" t="s">
        <v>36</v>
      </c>
      <c r="D78" s="674" t="s">
        <v>373</v>
      </c>
      <c r="E78" s="611">
        <v>6.7880000000000003</v>
      </c>
      <c r="F78" s="87" t="s">
        <v>375</v>
      </c>
      <c r="G78" s="89"/>
      <c r="H78" s="87"/>
      <c r="I78" s="88"/>
      <c r="J78" s="88"/>
      <c r="K78" s="88"/>
      <c r="L78" s="88"/>
      <c r="M78" s="89">
        <v>6.7880000000000003</v>
      </c>
      <c r="N78" s="89"/>
      <c r="O78" s="46">
        <v>19.283000000000001</v>
      </c>
      <c r="P78" s="40" t="s">
        <v>374</v>
      </c>
      <c r="Q78" s="40"/>
      <c r="R78" s="62"/>
      <c r="S78" s="62"/>
      <c r="T78" s="62"/>
      <c r="U78" s="62"/>
      <c r="V78" s="62"/>
      <c r="W78" s="62"/>
      <c r="X78" s="620"/>
      <c r="Y78" s="11"/>
    </row>
    <row r="79" spans="1:25" ht="20.100000000000001" customHeight="1" x14ac:dyDescent="0.2">
      <c r="A79" s="621" t="s">
        <v>376</v>
      </c>
      <c r="B79" s="24" t="s">
        <v>377</v>
      </c>
      <c r="C79" s="25" t="s">
        <v>36</v>
      </c>
      <c r="D79" s="674" t="s">
        <v>378</v>
      </c>
      <c r="E79" s="608"/>
      <c r="F79" s="33"/>
      <c r="G79" s="69"/>
      <c r="H79" s="33"/>
      <c r="I79" s="37"/>
      <c r="J79" s="37"/>
      <c r="K79" s="37"/>
      <c r="L79" s="37"/>
      <c r="M79" s="69"/>
      <c r="N79" s="69"/>
      <c r="O79" s="46">
        <v>24.706</v>
      </c>
      <c r="P79" s="29" t="s">
        <v>379</v>
      </c>
      <c r="Q79" s="30"/>
      <c r="R79" s="62"/>
      <c r="S79" s="62"/>
      <c r="T79" s="62"/>
      <c r="U79" s="62"/>
      <c r="V79" s="62"/>
      <c r="W79" s="62"/>
      <c r="X79" s="620"/>
      <c r="Y79" s="11"/>
    </row>
    <row r="80" spans="1:25" ht="20.100000000000001" customHeight="1" x14ac:dyDescent="0.2">
      <c r="A80" s="621" t="s">
        <v>380</v>
      </c>
      <c r="B80" s="24" t="s">
        <v>381</v>
      </c>
      <c r="C80" s="25" t="s">
        <v>36</v>
      </c>
      <c r="D80" s="674" t="s">
        <v>382</v>
      </c>
      <c r="E80" s="663"/>
      <c r="F80" s="82"/>
      <c r="G80" s="51"/>
      <c r="H80" s="82"/>
      <c r="I80" s="50"/>
      <c r="J80" s="50"/>
      <c r="K80" s="50"/>
      <c r="L80" s="50"/>
      <c r="M80" s="51"/>
      <c r="N80" s="51"/>
      <c r="O80" s="46">
        <v>8.3899999999999988</v>
      </c>
      <c r="P80" s="29" t="s">
        <v>384</v>
      </c>
      <c r="Q80" s="30"/>
      <c r="R80" s="62"/>
      <c r="S80" s="62"/>
      <c r="T80" s="62"/>
      <c r="U80" s="62"/>
      <c r="V80" s="62"/>
      <c r="W80" s="62"/>
      <c r="X80" s="620"/>
      <c r="Y80" s="11"/>
    </row>
    <row r="81" spans="1:25" ht="20.100000000000001" customHeight="1" x14ac:dyDescent="0.2">
      <c r="A81" s="621" t="s">
        <v>385</v>
      </c>
      <c r="B81" s="24" t="s">
        <v>386</v>
      </c>
      <c r="C81" s="25" t="s">
        <v>68</v>
      </c>
      <c r="D81" s="674" t="s">
        <v>387</v>
      </c>
      <c r="E81" s="608"/>
      <c r="F81" s="33"/>
      <c r="G81" s="69"/>
      <c r="H81" s="33"/>
      <c r="I81" s="37"/>
      <c r="J81" s="37"/>
      <c r="K81" s="37"/>
      <c r="L81" s="37"/>
      <c r="M81" s="69"/>
      <c r="N81" s="69"/>
      <c r="O81" s="46">
        <v>7.2490000000000006</v>
      </c>
      <c r="P81" s="29" t="s">
        <v>388</v>
      </c>
      <c r="Q81" s="30"/>
      <c r="R81" s="62"/>
      <c r="S81" s="62"/>
      <c r="T81" s="62"/>
      <c r="U81" s="62"/>
      <c r="V81" s="62"/>
      <c r="W81" s="62"/>
      <c r="X81" s="620"/>
      <c r="Y81" s="11"/>
    </row>
    <row r="82" spans="1:25" ht="20.100000000000001" customHeight="1" x14ac:dyDescent="0.2">
      <c r="A82" s="621" t="s">
        <v>389</v>
      </c>
      <c r="B82" s="24" t="s">
        <v>390</v>
      </c>
      <c r="C82" s="25" t="s">
        <v>68</v>
      </c>
      <c r="D82" s="674" t="s">
        <v>391</v>
      </c>
      <c r="E82" s="608"/>
      <c r="F82" s="33"/>
      <c r="G82" s="69"/>
      <c r="H82" s="33"/>
      <c r="I82" s="37"/>
      <c r="J82" s="37"/>
      <c r="K82" s="37"/>
      <c r="L82" s="37"/>
      <c r="M82" s="69"/>
      <c r="N82" s="69"/>
      <c r="O82" s="46">
        <v>1.9870000000000001</v>
      </c>
      <c r="P82" s="29" t="s">
        <v>392</v>
      </c>
      <c r="Q82" s="30"/>
      <c r="R82" s="62"/>
      <c r="S82" s="62"/>
      <c r="T82" s="62"/>
      <c r="U82" s="62"/>
      <c r="V82" s="62"/>
      <c r="W82" s="62"/>
      <c r="X82" s="620"/>
      <c r="Y82" s="11"/>
    </row>
    <row r="83" spans="1:25" ht="20.100000000000001" customHeight="1" x14ac:dyDescent="0.2">
      <c r="A83" s="621" t="s">
        <v>393</v>
      </c>
      <c r="B83" s="24" t="s">
        <v>394</v>
      </c>
      <c r="C83" s="25" t="s">
        <v>68</v>
      </c>
      <c r="D83" s="674" t="s">
        <v>395</v>
      </c>
      <c r="E83" s="608"/>
      <c r="F83" s="33"/>
      <c r="G83" s="69"/>
      <c r="H83" s="33"/>
      <c r="I83" s="37"/>
      <c r="J83" s="37"/>
      <c r="K83" s="37"/>
      <c r="L83" s="37"/>
      <c r="M83" s="69"/>
      <c r="N83" s="69"/>
      <c r="O83" s="46">
        <v>9.7539999999999996</v>
      </c>
      <c r="P83" s="29" t="s">
        <v>396</v>
      </c>
      <c r="Q83" s="30"/>
      <c r="R83" s="62"/>
      <c r="S83" s="62"/>
      <c r="T83" s="62"/>
      <c r="U83" s="62"/>
      <c r="V83" s="62"/>
      <c r="W83" s="62"/>
      <c r="X83" s="620"/>
      <c r="Y83" s="11"/>
    </row>
    <row r="84" spans="1:25" ht="52.5" x14ac:dyDescent="0.2">
      <c r="A84" s="621" t="s">
        <v>397</v>
      </c>
      <c r="B84" s="498" t="s">
        <v>398</v>
      </c>
      <c r="C84" s="100" t="s">
        <v>26</v>
      </c>
      <c r="D84" s="674" t="s">
        <v>399</v>
      </c>
      <c r="E84" s="611">
        <v>3.0179999999999998</v>
      </c>
      <c r="F84" s="76" t="s">
        <v>1708</v>
      </c>
      <c r="G84" s="599"/>
      <c r="H84" s="600"/>
      <c r="I84" s="601"/>
      <c r="J84" s="601"/>
      <c r="K84" s="601"/>
      <c r="L84" s="601"/>
      <c r="M84" s="61">
        <v>3.1</v>
      </c>
      <c r="N84" s="599"/>
      <c r="O84" s="46">
        <v>67.222999999999999</v>
      </c>
      <c r="P84" s="40" t="s">
        <v>1815</v>
      </c>
      <c r="Q84" s="41"/>
      <c r="R84" s="62"/>
      <c r="S84" s="62"/>
      <c r="T84" s="62"/>
      <c r="U84" s="62"/>
      <c r="V84" s="62"/>
      <c r="W84" s="62"/>
      <c r="X84" s="620"/>
      <c r="Y84" s="11"/>
    </row>
    <row r="85" spans="1:25" ht="20.100000000000001" customHeight="1" x14ac:dyDescent="0.2">
      <c r="A85" s="621" t="s">
        <v>401</v>
      </c>
      <c r="B85" s="24" t="s">
        <v>402</v>
      </c>
      <c r="C85" s="25" t="s">
        <v>36</v>
      </c>
      <c r="D85" s="674" t="s">
        <v>403</v>
      </c>
      <c r="E85" s="608"/>
      <c r="F85" s="33"/>
      <c r="G85" s="69"/>
      <c r="H85" s="33"/>
      <c r="I85" s="37"/>
      <c r="J85" s="37"/>
      <c r="K85" s="37"/>
      <c r="L85" s="37"/>
      <c r="M85" s="69"/>
      <c r="N85" s="69"/>
      <c r="O85" s="46">
        <v>2.1490000000000009</v>
      </c>
      <c r="P85" s="29" t="s">
        <v>404</v>
      </c>
      <c r="Q85" s="30"/>
      <c r="R85" s="62"/>
      <c r="S85" s="62"/>
      <c r="T85" s="62"/>
      <c r="U85" s="62"/>
      <c r="V85" s="62"/>
      <c r="W85" s="62"/>
      <c r="X85" s="620"/>
      <c r="Y85" s="11"/>
    </row>
    <row r="86" spans="1:25" ht="20.100000000000001" customHeight="1" x14ac:dyDescent="0.2">
      <c r="A86" s="621" t="s">
        <v>405</v>
      </c>
      <c r="B86" s="24" t="s">
        <v>406</v>
      </c>
      <c r="C86" s="25" t="s">
        <v>36</v>
      </c>
      <c r="D86" s="674" t="s">
        <v>407</v>
      </c>
      <c r="E86" s="609">
        <v>1.0509999999999999</v>
      </c>
      <c r="F86" s="59" t="s">
        <v>406</v>
      </c>
      <c r="G86" s="61"/>
      <c r="H86" s="59"/>
      <c r="I86" s="60"/>
      <c r="J86" s="60"/>
      <c r="K86" s="60"/>
      <c r="L86" s="60"/>
      <c r="M86" s="61"/>
      <c r="N86" s="61"/>
      <c r="O86" s="210"/>
      <c r="P86" s="210"/>
      <c r="Q86" s="210"/>
      <c r="R86" s="210"/>
      <c r="S86" s="259"/>
      <c r="T86" s="259"/>
      <c r="U86" s="259"/>
      <c r="V86" s="259"/>
      <c r="W86" s="210"/>
      <c r="X86" s="626"/>
      <c r="Y86" s="11"/>
    </row>
    <row r="87" spans="1:25" ht="20.100000000000001" customHeight="1" x14ac:dyDescent="0.2">
      <c r="A87" s="621" t="s">
        <v>408</v>
      </c>
      <c r="B87" s="24" t="s">
        <v>409</v>
      </c>
      <c r="C87" s="25" t="s">
        <v>36</v>
      </c>
      <c r="D87" s="674" t="s">
        <v>410</v>
      </c>
      <c r="E87" s="608"/>
      <c r="F87" s="33"/>
      <c r="G87" s="69"/>
      <c r="H87" s="33"/>
      <c r="I87" s="37"/>
      <c r="J87" s="37"/>
      <c r="K87" s="37"/>
      <c r="L87" s="37"/>
      <c r="M87" s="69"/>
      <c r="N87" s="69"/>
      <c r="O87" s="46">
        <v>9.86</v>
      </c>
      <c r="P87" s="29" t="s">
        <v>1704</v>
      </c>
      <c r="Q87" s="30"/>
      <c r="R87" s="30"/>
      <c r="S87" s="31"/>
      <c r="T87" s="31"/>
      <c r="U87" s="31"/>
      <c r="V87" s="31"/>
      <c r="W87" s="30"/>
      <c r="X87" s="614"/>
      <c r="Y87" s="11"/>
    </row>
    <row r="88" spans="1:25" ht="20.100000000000001" customHeight="1" x14ac:dyDescent="0.2">
      <c r="A88" s="621" t="s">
        <v>411</v>
      </c>
      <c r="B88" s="498" t="s">
        <v>1807</v>
      </c>
      <c r="C88" s="25" t="s">
        <v>36</v>
      </c>
      <c r="D88" s="674" t="s">
        <v>412</v>
      </c>
      <c r="E88" s="663"/>
      <c r="F88" s="82"/>
      <c r="G88" s="51"/>
      <c r="H88" s="82"/>
      <c r="I88" s="50"/>
      <c r="J88" s="50"/>
      <c r="K88" s="50"/>
      <c r="L88" s="50"/>
      <c r="M88" s="51"/>
      <c r="N88" s="51"/>
      <c r="O88" s="46">
        <v>16.420000000000002</v>
      </c>
      <c r="P88" s="29" t="s">
        <v>1703</v>
      </c>
      <c r="Q88" s="30"/>
      <c r="R88" s="30"/>
      <c r="S88" s="31"/>
      <c r="T88" s="31"/>
      <c r="U88" s="31"/>
      <c r="V88" s="31"/>
      <c r="W88" s="30">
        <v>8</v>
      </c>
      <c r="X88" s="614"/>
      <c r="Y88" s="11"/>
    </row>
    <row r="89" spans="1:25" ht="20.100000000000001" customHeight="1" x14ac:dyDescent="0.2">
      <c r="A89" s="621" t="s">
        <v>413</v>
      </c>
      <c r="B89" s="498" t="s">
        <v>414</v>
      </c>
      <c r="C89" s="25" t="s">
        <v>36</v>
      </c>
      <c r="D89" s="674" t="s">
        <v>415</v>
      </c>
      <c r="E89" s="608"/>
      <c r="F89" s="33"/>
      <c r="G89" s="69"/>
      <c r="H89" s="33"/>
      <c r="I89" s="37"/>
      <c r="J89" s="37"/>
      <c r="K89" s="37"/>
      <c r="L89" s="37"/>
      <c r="M89" s="69"/>
      <c r="N89" s="69"/>
      <c r="O89" s="46">
        <v>9.228999999999985</v>
      </c>
      <c r="P89" s="29" t="s">
        <v>416</v>
      </c>
      <c r="Q89" s="30"/>
      <c r="R89" s="30"/>
      <c r="S89" s="31"/>
      <c r="T89" s="31"/>
      <c r="U89" s="31"/>
      <c r="V89" s="31"/>
      <c r="W89" s="30"/>
      <c r="X89" s="614"/>
      <c r="Y89" s="11"/>
    </row>
    <row r="90" spans="1:25" ht="20.100000000000001" customHeight="1" x14ac:dyDescent="0.2">
      <c r="A90" s="621" t="s">
        <v>417</v>
      </c>
      <c r="B90" s="24" t="s">
        <v>418</v>
      </c>
      <c r="C90" s="25" t="s">
        <v>68</v>
      </c>
      <c r="D90" s="674" t="s">
        <v>419</v>
      </c>
      <c r="E90" s="608"/>
      <c r="F90" s="33"/>
      <c r="G90" s="69"/>
      <c r="H90" s="33"/>
      <c r="I90" s="37"/>
      <c r="J90" s="37"/>
      <c r="K90" s="37"/>
      <c r="L90" s="37"/>
      <c r="M90" s="69"/>
      <c r="N90" s="69"/>
      <c r="O90" s="46">
        <v>17.684000000000001</v>
      </c>
      <c r="P90" s="29" t="s">
        <v>420</v>
      </c>
      <c r="Q90" s="30"/>
      <c r="R90" s="30"/>
      <c r="S90" s="31"/>
      <c r="T90" s="31"/>
      <c r="U90" s="31"/>
      <c r="V90" s="31"/>
      <c r="W90" s="30"/>
      <c r="X90" s="614"/>
      <c r="Y90" s="11"/>
    </row>
    <row r="91" spans="1:25" ht="20.100000000000001" customHeight="1" x14ac:dyDescent="0.2">
      <c r="A91" s="621" t="s">
        <v>421</v>
      </c>
      <c r="B91" s="24" t="s">
        <v>422</v>
      </c>
      <c r="C91" s="25" t="s">
        <v>68</v>
      </c>
      <c r="D91" s="674" t="s">
        <v>423</v>
      </c>
      <c r="E91" s="608"/>
      <c r="F91" s="33"/>
      <c r="G91" s="69"/>
      <c r="H91" s="33"/>
      <c r="I91" s="37"/>
      <c r="J91" s="37"/>
      <c r="K91" s="37"/>
      <c r="L91" s="37"/>
      <c r="M91" s="69"/>
      <c r="N91" s="69"/>
      <c r="O91" s="46">
        <v>15.186999999999998</v>
      </c>
      <c r="P91" s="29" t="s">
        <v>424</v>
      </c>
      <c r="Q91" s="30"/>
      <c r="R91" s="30"/>
      <c r="S91" s="31"/>
      <c r="T91" s="31"/>
      <c r="U91" s="31"/>
      <c r="V91" s="31"/>
      <c r="W91" s="30"/>
      <c r="X91" s="614"/>
      <c r="Y91" s="11"/>
    </row>
    <row r="92" spans="1:25" ht="20.100000000000001" customHeight="1" x14ac:dyDescent="0.2">
      <c r="A92" s="621" t="s">
        <v>425</v>
      </c>
      <c r="B92" s="24" t="s">
        <v>426</v>
      </c>
      <c r="C92" s="25" t="s">
        <v>68</v>
      </c>
      <c r="D92" s="674" t="s">
        <v>427</v>
      </c>
      <c r="E92" s="608"/>
      <c r="F92" s="33"/>
      <c r="G92" s="69"/>
      <c r="H92" s="33"/>
      <c r="I92" s="37"/>
      <c r="J92" s="37"/>
      <c r="K92" s="37"/>
      <c r="L92" s="37"/>
      <c r="M92" s="69"/>
      <c r="N92" s="69"/>
      <c r="O92" s="46">
        <v>29.574000000000002</v>
      </c>
      <c r="P92" s="29" t="s">
        <v>428</v>
      </c>
      <c r="Q92" s="30"/>
      <c r="R92" s="30"/>
      <c r="S92" s="31"/>
      <c r="T92" s="31"/>
      <c r="U92" s="31"/>
      <c r="V92" s="31"/>
      <c r="W92" s="30"/>
      <c r="X92" s="614"/>
      <c r="Y92" s="11"/>
    </row>
    <row r="93" spans="1:25" ht="20.100000000000001" customHeight="1" x14ac:dyDescent="0.2">
      <c r="A93" s="621" t="s">
        <v>429</v>
      </c>
      <c r="B93" s="24" t="s">
        <v>430</v>
      </c>
      <c r="C93" s="25" t="s">
        <v>68</v>
      </c>
      <c r="D93" s="674" t="s">
        <v>431</v>
      </c>
      <c r="E93" s="608"/>
      <c r="F93" s="33"/>
      <c r="G93" s="69"/>
      <c r="H93" s="33"/>
      <c r="I93" s="37"/>
      <c r="J93" s="37"/>
      <c r="K93" s="37"/>
      <c r="L93" s="37"/>
      <c r="M93" s="69"/>
      <c r="N93" s="69"/>
      <c r="O93" s="46">
        <v>20.391000000000002</v>
      </c>
      <c r="P93" s="29" t="s">
        <v>432</v>
      </c>
      <c r="Q93" s="30"/>
      <c r="R93" s="30"/>
      <c r="S93" s="31"/>
      <c r="T93" s="31"/>
      <c r="U93" s="31"/>
      <c r="V93" s="31"/>
      <c r="W93" s="30"/>
      <c r="X93" s="614"/>
      <c r="Y93" s="11"/>
    </row>
    <row r="94" spans="1:25" ht="20.100000000000001" customHeight="1" x14ac:dyDescent="0.2">
      <c r="A94" s="621" t="s">
        <v>433</v>
      </c>
      <c r="B94" s="24" t="s">
        <v>434</v>
      </c>
      <c r="C94" s="25" t="s">
        <v>68</v>
      </c>
      <c r="D94" s="674" t="s">
        <v>435</v>
      </c>
      <c r="E94" s="608"/>
      <c r="F94" s="33"/>
      <c r="G94" s="69"/>
      <c r="H94" s="33"/>
      <c r="I94" s="37"/>
      <c r="J94" s="37"/>
      <c r="K94" s="37"/>
      <c r="L94" s="37"/>
      <c r="M94" s="69"/>
      <c r="N94" s="69"/>
      <c r="O94" s="46">
        <v>0.77700000000000002</v>
      </c>
      <c r="P94" s="29" t="s">
        <v>436</v>
      </c>
      <c r="Q94" s="30"/>
      <c r="R94" s="30"/>
      <c r="S94" s="31"/>
      <c r="T94" s="31"/>
      <c r="U94" s="31"/>
      <c r="V94" s="31"/>
      <c r="W94" s="30"/>
      <c r="X94" s="614"/>
      <c r="Y94" s="11"/>
    </row>
    <row r="95" spans="1:25" ht="20.100000000000001" customHeight="1" x14ac:dyDescent="0.2">
      <c r="A95" s="621" t="s">
        <v>437</v>
      </c>
      <c r="B95" s="24" t="s">
        <v>438</v>
      </c>
      <c r="C95" s="25" t="s">
        <v>68</v>
      </c>
      <c r="D95" s="674" t="s">
        <v>439</v>
      </c>
      <c r="E95" s="608"/>
      <c r="F95" s="33"/>
      <c r="G95" s="69"/>
      <c r="H95" s="33"/>
      <c r="I95" s="37"/>
      <c r="J95" s="37"/>
      <c r="K95" s="37"/>
      <c r="L95" s="37"/>
      <c r="M95" s="69"/>
      <c r="N95" s="69"/>
      <c r="O95" s="46">
        <v>0.74</v>
      </c>
      <c r="P95" s="29" t="s">
        <v>440</v>
      </c>
      <c r="Q95" s="30"/>
      <c r="R95" s="30"/>
      <c r="S95" s="31"/>
      <c r="T95" s="31"/>
      <c r="U95" s="31"/>
      <c r="V95" s="31"/>
      <c r="W95" s="30"/>
      <c r="X95" s="614"/>
      <c r="Y95" s="11"/>
    </row>
    <row r="96" spans="1:25" ht="20.100000000000001" customHeight="1" x14ac:dyDescent="0.2">
      <c r="A96" s="621" t="s">
        <v>441</v>
      </c>
      <c r="B96" s="498" t="s">
        <v>442</v>
      </c>
      <c r="C96" s="25" t="s">
        <v>36</v>
      </c>
      <c r="D96" s="674" t="s">
        <v>443</v>
      </c>
      <c r="E96" s="608"/>
      <c r="F96" s="33"/>
      <c r="G96" s="69"/>
      <c r="H96" s="33"/>
      <c r="I96" s="37"/>
      <c r="J96" s="37"/>
      <c r="K96" s="37"/>
      <c r="L96" s="37"/>
      <c r="M96" s="69"/>
      <c r="N96" s="69"/>
      <c r="O96" s="46">
        <v>13.237</v>
      </c>
      <c r="P96" s="29" t="s">
        <v>444</v>
      </c>
      <c r="Q96" s="30"/>
      <c r="R96" s="30"/>
      <c r="S96" s="31"/>
      <c r="T96" s="31"/>
      <c r="U96" s="31"/>
      <c r="V96" s="31"/>
      <c r="W96" s="30">
        <v>7</v>
      </c>
      <c r="X96" s="614"/>
      <c r="Y96" s="11"/>
    </row>
    <row r="97" spans="1:25" ht="20.100000000000001" customHeight="1" x14ac:dyDescent="0.2">
      <c r="A97" s="621" t="s">
        <v>445</v>
      </c>
      <c r="B97" s="498" t="s">
        <v>446</v>
      </c>
      <c r="C97" s="25" t="s">
        <v>36</v>
      </c>
      <c r="D97" s="674" t="s">
        <v>447</v>
      </c>
      <c r="E97" s="608"/>
      <c r="F97" s="33"/>
      <c r="G97" s="69"/>
      <c r="H97" s="33"/>
      <c r="I97" s="37"/>
      <c r="J97" s="37"/>
      <c r="K97" s="37"/>
      <c r="L97" s="37"/>
      <c r="M97" s="69"/>
      <c r="N97" s="69"/>
      <c r="O97" s="46">
        <v>19.509</v>
      </c>
      <c r="P97" s="29" t="s">
        <v>448</v>
      </c>
      <c r="Q97" s="30"/>
      <c r="R97" s="30"/>
      <c r="S97" s="31"/>
      <c r="T97" s="31"/>
      <c r="U97" s="31"/>
      <c r="V97" s="31"/>
      <c r="W97" s="30">
        <v>10</v>
      </c>
      <c r="X97" s="614"/>
      <c r="Y97" s="11"/>
    </row>
    <row r="98" spans="1:25" ht="20.100000000000001" customHeight="1" x14ac:dyDescent="0.2">
      <c r="A98" s="621" t="s">
        <v>449</v>
      </c>
      <c r="B98" s="24" t="s">
        <v>450</v>
      </c>
      <c r="C98" s="25" t="s">
        <v>68</v>
      </c>
      <c r="D98" s="674" t="s">
        <v>451</v>
      </c>
      <c r="E98" s="608"/>
      <c r="F98" s="33"/>
      <c r="G98" s="69"/>
      <c r="H98" s="33"/>
      <c r="I98" s="37"/>
      <c r="J98" s="37"/>
      <c r="K98" s="37"/>
      <c r="L98" s="37"/>
      <c r="M98" s="69"/>
      <c r="N98" s="69"/>
      <c r="O98" s="46">
        <v>42.947999999999993</v>
      </c>
      <c r="P98" s="29" t="s">
        <v>452</v>
      </c>
      <c r="Q98" s="30"/>
      <c r="R98" s="30"/>
      <c r="S98" s="31"/>
      <c r="T98" s="31"/>
      <c r="U98" s="31"/>
      <c r="V98" s="31"/>
      <c r="W98" s="30"/>
      <c r="X98" s="614"/>
      <c r="Y98" s="11"/>
    </row>
    <row r="99" spans="1:25" ht="20.100000000000001" customHeight="1" x14ac:dyDescent="0.2">
      <c r="A99" s="621" t="s">
        <v>453</v>
      </c>
      <c r="B99" s="24" t="s">
        <v>454</v>
      </c>
      <c r="C99" s="25" t="s">
        <v>68</v>
      </c>
      <c r="D99" s="674" t="s">
        <v>455</v>
      </c>
      <c r="E99" s="608"/>
      <c r="F99" s="33"/>
      <c r="G99" s="69"/>
      <c r="H99" s="33"/>
      <c r="I99" s="37"/>
      <c r="J99" s="37"/>
      <c r="K99" s="37"/>
      <c r="L99" s="37"/>
      <c r="M99" s="69"/>
      <c r="N99" s="69"/>
      <c r="O99" s="46">
        <v>43.121000000000002</v>
      </c>
      <c r="P99" s="40" t="s">
        <v>456</v>
      </c>
      <c r="Q99" s="41"/>
      <c r="R99" s="41"/>
      <c r="S99" s="42"/>
      <c r="T99" s="42"/>
      <c r="U99" s="42"/>
      <c r="V99" s="42"/>
      <c r="W99" s="41"/>
      <c r="X99" s="615"/>
      <c r="Y99" s="11"/>
    </row>
    <row r="100" spans="1:25" ht="20.100000000000001" customHeight="1" x14ac:dyDescent="0.2">
      <c r="A100" s="621" t="s">
        <v>457</v>
      </c>
      <c r="B100" s="24" t="s">
        <v>458</v>
      </c>
      <c r="C100" s="25" t="s">
        <v>68</v>
      </c>
      <c r="D100" s="674" t="s">
        <v>459</v>
      </c>
      <c r="E100" s="608"/>
      <c r="F100" s="33"/>
      <c r="G100" s="69"/>
      <c r="H100" s="33"/>
      <c r="I100" s="37"/>
      <c r="J100" s="37"/>
      <c r="K100" s="37"/>
      <c r="L100" s="37"/>
      <c r="M100" s="69"/>
      <c r="N100" s="69"/>
      <c r="O100" s="46">
        <v>0.82299999999999995</v>
      </c>
      <c r="P100" s="29" t="s">
        <v>460</v>
      </c>
      <c r="Q100" s="30"/>
      <c r="R100" s="30"/>
      <c r="S100" s="31"/>
      <c r="T100" s="31"/>
      <c r="U100" s="31"/>
      <c r="V100" s="31"/>
      <c r="W100" s="30"/>
      <c r="X100" s="614"/>
      <c r="Y100" s="11"/>
    </row>
    <row r="101" spans="1:25" ht="20.100000000000001" customHeight="1" x14ac:dyDescent="0.2">
      <c r="A101" s="621" t="s">
        <v>462</v>
      </c>
      <c r="B101" s="24" t="s">
        <v>463</v>
      </c>
      <c r="C101" s="25" t="s">
        <v>68</v>
      </c>
      <c r="D101" s="674" t="s">
        <v>464</v>
      </c>
      <c r="E101" s="608"/>
      <c r="F101" s="33"/>
      <c r="G101" s="69"/>
      <c r="H101" s="33"/>
      <c r="I101" s="37"/>
      <c r="J101" s="37"/>
      <c r="K101" s="37"/>
      <c r="L101" s="37"/>
      <c r="M101" s="69"/>
      <c r="N101" s="69"/>
      <c r="O101" s="46">
        <v>0.52499999999999991</v>
      </c>
      <c r="P101" s="29" t="s">
        <v>465</v>
      </c>
      <c r="Q101" s="30"/>
      <c r="R101" s="30"/>
      <c r="S101" s="31"/>
      <c r="T101" s="31"/>
      <c r="U101" s="31"/>
      <c r="V101" s="31"/>
      <c r="W101" s="30"/>
      <c r="X101" s="614"/>
      <c r="Y101" s="11"/>
    </row>
    <row r="102" spans="1:25" ht="20.100000000000001" customHeight="1" x14ac:dyDescent="0.2">
      <c r="A102" s="621" t="s">
        <v>466</v>
      </c>
      <c r="B102" s="24" t="s">
        <v>467</v>
      </c>
      <c r="C102" s="25" t="s">
        <v>68</v>
      </c>
      <c r="D102" s="674" t="s">
        <v>468</v>
      </c>
      <c r="E102" s="608"/>
      <c r="F102" s="33"/>
      <c r="G102" s="69"/>
      <c r="H102" s="33"/>
      <c r="I102" s="37"/>
      <c r="J102" s="37"/>
      <c r="K102" s="37"/>
      <c r="L102" s="37"/>
      <c r="M102" s="69"/>
      <c r="N102" s="69"/>
      <c r="O102" s="46">
        <v>4.8719999999999999</v>
      </c>
      <c r="P102" s="29" t="s">
        <v>469</v>
      </c>
      <c r="Q102" s="30">
        <v>2</v>
      </c>
      <c r="R102" s="30" t="s">
        <v>470</v>
      </c>
      <c r="S102" s="31">
        <v>4</v>
      </c>
      <c r="T102" s="31">
        <v>0</v>
      </c>
      <c r="U102" s="31">
        <v>0</v>
      </c>
      <c r="V102" s="31">
        <v>0</v>
      </c>
      <c r="W102" s="30"/>
      <c r="X102" s="614"/>
      <c r="Y102" s="11"/>
    </row>
    <row r="103" spans="1:25" ht="20.100000000000001" customHeight="1" x14ac:dyDescent="0.2">
      <c r="A103" s="621" t="s">
        <v>471</v>
      </c>
      <c r="B103" s="24" t="s">
        <v>472</v>
      </c>
      <c r="C103" s="25" t="s">
        <v>68</v>
      </c>
      <c r="D103" s="674" t="s">
        <v>473</v>
      </c>
      <c r="E103" s="608"/>
      <c r="F103" s="33"/>
      <c r="G103" s="69"/>
      <c r="H103" s="33"/>
      <c r="I103" s="37"/>
      <c r="J103" s="37"/>
      <c r="K103" s="37"/>
      <c r="L103" s="37"/>
      <c r="M103" s="69"/>
      <c r="N103" s="69"/>
      <c r="O103" s="46">
        <v>1.4770000000000001</v>
      </c>
      <c r="P103" s="29" t="s">
        <v>474</v>
      </c>
      <c r="Q103" s="30">
        <v>1.6</v>
      </c>
      <c r="R103" s="30" t="s">
        <v>475</v>
      </c>
      <c r="S103" s="31">
        <v>8</v>
      </c>
      <c r="T103" s="31">
        <v>0</v>
      </c>
      <c r="U103" s="31">
        <v>0</v>
      </c>
      <c r="V103" s="31">
        <v>0</v>
      </c>
      <c r="W103" s="30"/>
      <c r="X103" s="614"/>
      <c r="Y103" s="11"/>
    </row>
    <row r="104" spans="1:25" ht="66" customHeight="1" x14ac:dyDescent="0.2">
      <c r="A104" s="621" t="s">
        <v>476</v>
      </c>
      <c r="B104" s="24" t="s">
        <v>477</v>
      </c>
      <c r="C104" s="25" t="s">
        <v>26</v>
      </c>
      <c r="D104" s="674" t="s">
        <v>478</v>
      </c>
      <c r="E104" s="609">
        <v>3.0600000000000023</v>
      </c>
      <c r="F104" s="98" t="s">
        <v>482</v>
      </c>
      <c r="G104" s="61"/>
      <c r="H104" s="98"/>
      <c r="I104" s="60"/>
      <c r="J104" s="60"/>
      <c r="K104" s="60"/>
      <c r="L104" s="60"/>
      <c r="M104" s="61"/>
      <c r="N104" s="61"/>
      <c r="O104" s="46">
        <v>126.16800000000001</v>
      </c>
      <c r="P104" s="40" t="s">
        <v>479</v>
      </c>
      <c r="Q104" s="41" t="s">
        <v>481</v>
      </c>
      <c r="R104" s="41" t="s">
        <v>480</v>
      </c>
      <c r="S104" s="42">
        <v>27</v>
      </c>
      <c r="T104" s="42">
        <v>0</v>
      </c>
      <c r="U104" s="42">
        <v>0</v>
      </c>
      <c r="V104" s="42">
        <v>0</v>
      </c>
      <c r="W104" s="41"/>
      <c r="X104" s="615"/>
      <c r="Y104" s="11"/>
    </row>
    <row r="105" spans="1:25" ht="20.100000000000001" customHeight="1" x14ac:dyDescent="0.2">
      <c r="A105" s="621" t="s">
        <v>484</v>
      </c>
      <c r="B105" s="498" t="s">
        <v>485</v>
      </c>
      <c r="C105" s="25" t="s">
        <v>36</v>
      </c>
      <c r="D105" s="674" t="s">
        <v>486</v>
      </c>
      <c r="E105" s="611">
        <v>2.0539999999999998</v>
      </c>
      <c r="F105" s="76" t="s">
        <v>489</v>
      </c>
      <c r="G105" s="79"/>
      <c r="H105" s="76"/>
      <c r="I105" s="78"/>
      <c r="J105" s="78"/>
      <c r="K105" s="78"/>
      <c r="L105" s="78"/>
      <c r="M105" s="79"/>
      <c r="N105" s="79"/>
      <c r="O105" s="46">
        <v>8.7789999999999999</v>
      </c>
      <c r="P105" s="29" t="s">
        <v>488</v>
      </c>
      <c r="Q105" s="30"/>
      <c r="R105" s="30"/>
      <c r="S105" s="31"/>
      <c r="T105" s="31"/>
      <c r="U105" s="31"/>
      <c r="V105" s="31"/>
      <c r="W105" s="30"/>
      <c r="X105" s="614"/>
      <c r="Y105" s="11"/>
    </row>
    <row r="106" spans="1:25" ht="20.100000000000001" customHeight="1" x14ac:dyDescent="0.2">
      <c r="A106" s="621" t="s">
        <v>490</v>
      </c>
      <c r="B106" s="24" t="s">
        <v>491</v>
      </c>
      <c r="C106" s="25" t="s">
        <v>68</v>
      </c>
      <c r="D106" s="674" t="s">
        <v>492</v>
      </c>
      <c r="E106" s="608"/>
      <c r="F106" s="33"/>
      <c r="G106" s="69"/>
      <c r="H106" s="33"/>
      <c r="I106" s="37"/>
      <c r="J106" s="37"/>
      <c r="K106" s="37"/>
      <c r="L106" s="37"/>
      <c r="M106" s="69"/>
      <c r="N106" s="69"/>
      <c r="O106" s="46">
        <v>2.9259999999999997</v>
      </c>
      <c r="P106" s="29" t="s">
        <v>493</v>
      </c>
      <c r="Q106" s="30"/>
      <c r="R106" s="30"/>
      <c r="S106" s="31"/>
      <c r="T106" s="31"/>
      <c r="U106" s="31"/>
      <c r="V106" s="31"/>
      <c r="W106" s="30"/>
      <c r="X106" s="614"/>
      <c r="Y106" s="11"/>
    </row>
    <row r="107" spans="1:25" ht="20.100000000000001" customHeight="1" x14ac:dyDescent="0.2">
      <c r="A107" s="621" t="s">
        <v>494</v>
      </c>
      <c r="B107" s="24" t="s">
        <v>495</v>
      </c>
      <c r="C107" s="25" t="s">
        <v>68</v>
      </c>
      <c r="D107" s="674" t="s">
        <v>496</v>
      </c>
      <c r="E107" s="608"/>
      <c r="F107" s="33"/>
      <c r="G107" s="69"/>
      <c r="H107" s="33"/>
      <c r="I107" s="37"/>
      <c r="J107" s="37"/>
      <c r="K107" s="37"/>
      <c r="L107" s="37"/>
      <c r="M107" s="69"/>
      <c r="N107" s="69"/>
      <c r="O107" s="46">
        <v>23.702000000000002</v>
      </c>
      <c r="P107" s="29" t="s">
        <v>495</v>
      </c>
      <c r="Q107" s="30"/>
      <c r="R107" s="30"/>
      <c r="S107" s="31"/>
      <c r="T107" s="31"/>
      <c r="U107" s="31"/>
      <c r="V107" s="31"/>
      <c r="W107" s="30"/>
      <c r="X107" s="614"/>
      <c r="Y107" s="11"/>
    </row>
    <row r="108" spans="1:25" ht="20.100000000000001" customHeight="1" x14ac:dyDescent="0.2">
      <c r="A108" s="621" t="s">
        <v>499</v>
      </c>
      <c r="B108" s="24" t="s">
        <v>500</v>
      </c>
      <c r="C108" s="25" t="s">
        <v>68</v>
      </c>
      <c r="D108" s="674" t="s">
        <v>501</v>
      </c>
      <c r="E108" s="608"/>
      <c r="F108" s="33"/>
      <c r="G108" s="69"/>
      <c r="H108" s="33"/>
      <c r="I108" s="37"/>
      <c r="J108" s="37"/>
      <c r="K108" s="37"/>
      <c r="L108" s="37"/>
      <c r="M108" s="69"/>
      <c r="N108" s="69"/>
      <c r="O108" s="46">
        <v>15.792999999999999</v>
      </c>
      <c r="P108" s="29" t="s">
        <v>503</v>
      </c>
      <c r="Q108" s="30"/>
      <c r="R108" s="30"/>
      <c r="S108" s="31"/>
      <c r="T108" s="31"/>
      <c r="U108" s="31"/>
      <c r="V108" s="31"/>
      <c r="W108" s="30"/>
      <c r="X108" s="614"/>
      <c r="Y108" s="11"/>
    </row>
    <row r="109" spans="1:25" ht="20.100000000000001" customHeight="1" x14ac:dyDescent="0.2">
      <c r="A109" s="621" t="s">
        <v>504</v>
      </c>
      <c r="B109" s="24" t="s">
        <v>505</v>
      </c>
      <c r="C109" s="25" t="s">
        <v>36</v>
      </c>
      <c r="D109" s="674" t="s">
        <v>506</v>
      </c>
      <c r="E109" s="608"/>
      <c r="F109" s="33"/>
      <c r="G109" s="69"/>
      <c r="H109" s="33"/>
      <c r="I109" s="37"/>
      <c r="J109" s="37"/>
      <c r="K109" s="37"/>
      <c r="L109" s="37"/>
      <c r="M109" s="69"/>
      <c r="N109" s="69"/>
      <c r="O109" s="46">
        <v>36.630000000000003</v>
      </c>
      <c r="P109" s="29" t="s">
        <v>507</v>
      </c>
      <c r="Q109" s="30"/>
      <c r="R109" s="30"/>
      <c r="S109" s="31"/>
      <c r="T109" s="31"/>
      <c r="U109" s="31"/>
      <c r="V109" s="31"/>
      <c r="W109" s="30">
        <v>18</v>
      </c>
      <c r="X109" s="614"/>
      <c r="Y109" s="11"/>
    </row>
    <row r="110" spans="1:25" ht="20.100000000000001" customHeight="1" x14ac:dyDescent="0.2">
      <c r="A110" s="621" t="s">
        <v>508</v>
      </c>
      <c r="B110" s="24" t="s">
        <v>509</v>
      </c>
      <c r="C110" s="25" t="s">
        <v>36</v>
      </c>
      <c r="D110" s="674" t="s">
        <v>510</v>
      </c>
      <c r="E110" s="608"/>
      <c r="F110" s="33"/>
      <c r="G110" s="69"/>
      <c r="H110" s="33"/>
      <c r="I110" s="37"/>
      <c r="J110" s="37"/>
      <c r="K110" s="37"/>
      <c r="L110" s="37"/>
      <c r="M110" s="69"/>
      <c r="N110" s="69"/>
      <c r="O110" s="46">
        <v>11.786</v>
      </c>
      <c r="P110" s="29" t="s">
        <v>511</v>
      </c>
      <c r="Q110" s="30"/>
      <c r="R110" s="30"/>
      <c r="S110" s="31"/>
      <c r="T110" s="31"/>
      <c r="U110" s="31"/>
      <c r="V110" s="31"/>
      <c r="W110" s="30">
        <v>6</v>
      </c>
      <c r="X110" s="614"/>
      <c r="Y110" s="11"/>
    </row>
    <row r="111" spans="1:25" ht="20.100000000000001" customHeight="1" x14ac:dyDescent="0.2">
      <c r="A111" s="621" t="s">
        <v>512</v>
      </c>
      <c r="B111" s="24" t="s">
        <v>513</v>
      </c>
      <c r="C111" s="25" t="s">
        <v>68</v>
      </c>
      <c r="D111" s="674" t="s">
        <v>514</v>
      </c>
      <c r="E111" s="608"/>
      <c r="F111" s="33"/>
      <c r="G111" s="69"/>
      <c r="H111" s="33"/>
      <c r="I111" s="37"/>
      <c r="J111" s="37"/>
      <c r="K111" s="37"/>
      <c r="L111" s="37"/>
      <c r="M111" s="69"/>
      <c r="N111" s="69"/>
      <c r="O111" s="46">
        <v>17.292000000000002</v>
      </c>
      <c r="P111" s="29" t="s">
        <v>515</v>
      </c>
      <c r="Q111" s="30"/>
      <c r="R111" s="30"/>
      <c r="S111" s="31"/>
      <c r="T111" s="31"/>
      <c r="U111" s="31"/>
      <c r="V111" s="31"/>
      <c r="W111" s="30"/>
      <c r="X111" s="614"/>
      <c r="Y111" s="11"/>
    </row>
    <row r="112" spans="1:25" ht="20.100000000000001" customHeight="1" x14ac:dyDescent="0.2">
      <c r="A112" s="621" t="s">
        <v>516</v>
      </c>
      <c r="B112" s="24" t="s">
        <v>517</v>
      </c>
      <c r="C112" s="25" t="s">
        <v>36</v>
      </c>
      <c r="D112" s="674" t="s">
        <v>518</v>
      </c>
      <c r="E112" s="663"/>
      <c r="F112" s="82"/>
      <c r="G112" s="51"/>
      <c r="H112" s="82"/>
      <c r="I112" s="50"/>
      <c r="J112" s="50"/>
      <c r="K112" s="50"/>
      <c r="L112" s="50"/>
      <c r="M112" s="51"/>
      <c r="N112" s="51"/>
      <c r="O112" s="46">
        <v>38.323</v>
      </c>
      <c r="P112" s="29" t="s">
        <v>520</v>
      </c>
      <c r="Q112" s="30"/>
      <c r="R112" s="30"/>
      <c r="S112" s="31"/>
      <c r="T112" s="31"/>
      <c r="U112" s="31"/>
      <c r="V112" s="31"/>
      <c r="W112" s="30">
        <v>19</v>
      </c>
      <c r="X112" s="614"/>
      <c r="Y112" s="11"/>
    </row>
    <row r="113" spans="1:25" ht="20.100000000000001" customHeight="1" x14ac:dyDescent="0.2">
      <c r="A113" s="621" t="s">
        <v>521</v>
      </c>
      <c r="B113" s="24" t="s">
        <v>522</v>
      </c>
      <c r="C113" s="25" t="s">
        <v>36</v>
      </c>
      <c r="D113" s="674" t="s">
        <v>523</v>
      </c>
      <c r="E113" s="608"/>
      <c r="F113" s="33"/>
      <c r="G113" s="69"/>
      <c r="H113" s="33"/>
      <c r="I113" s="37"/>
      <c r="J113" s="37"/>
      <c r="K113" s="37"/>
      <c r="L113" s="37"/>
      <c r="M113" s="69"/>
      <c r="N113" s="69"/>
      <c r="O113" s="46">
        <v>19.798000000000002</v>
      </c>
      <c r="P113" s="29" t="s">
        <v>524</v>
      </c>
      <c r="Q113" s="30"/>
      <c r="R113" s="30"/>
      <c r="S113" s="31"/>
      <c r="T113" s="31"/>
      <c r="U113" s="31"/>
      <c r="V113" s="31"/>
      <c r="W113" s="30">
        <v>10</v>
      </c>
      <c r="X113" s="614"/>
      <c r="Y113" s="11"/>
    </row>
    <row r="114" spans="1:25" ht="20.100000000000001" customHeight="1" x14ac:dyDescent="0.2">
      <c r="A114" s="621" t="s">
        <v>525</v>
      </c>
      <c r="B114" s="24" t="s">
        <v>526</v>
      </c>
      <c r="C114" s="25" t="s">
        <v>68</v>
      </c>
      <c r="D114" s="674" t="s">
        <v>527</v>
      </c>
      <c r="E114" s="608"/>
      <c r="F114" s="33"/>
      <c r="G114" s="69"/>
      <c r="H114" s="33"/>
      <c r="I114" s="37"/>
      <c r="J114" s="37"/>
      <c r="K114" s="37"/>
      <c r="L114" s="37"/>
      <c r="M114" s="69"/>
      <c r="N114" s="69"/>
      <c r="O114" s="46">
        <v>9.6890000000000001</v>
      </c>
      <c r="P114" s="29" t="s">
        <v>528</v>
      </c>
      <c r="Q114" s="30">
        <v>4.0999999999999996</v>
      </c>
      <c r="R114" s="30" t="s">
        <v>529</v>
      </c>
      <c r="S114" s="31">
        <v>12</v>
      </c>
      <c r="T114" s="31">
        <v>3</v>
      </c>
      <c r="U114" s="31">
        <v>1</v>
      </c>
      <c r="V114" s="31">
        <v>0</v>
      </c>
      <c r="W114" s="30"/>
      <c r="X114" s="614"/>
      <c r="Y114" s="11"/>
    </row>
    <row r="115" spans="1:25" ht="20.100000000000001" customHeight="1" x14ac:dyDescent="0.2">
      <c r="A115" s="621" t="s">
        <v>530</v>
      </c>
      <c r="B115" s="24" t="s">
        <v>531</v>
      </c>
      <c r="C115" s="25" t="s">
        <v>68</v>
      </c>
      <c r="D115" s="675" t="s">
        <v>1720</v>
      </c>
      <c r="E115" s="109">
        <v>3.7229999999999999</v>
      </c>
      <c r="F115" s="59" t="s">
        <v>533</v>
      </c>
      <c r="G115" s="60"/>
      <c r="H115" s="59"/>
      <c r="I115" s="60"/>
      <c r="J115" s="60"/>
      <c r="K115" s="60"/>
      <c r="L115" s="60"/>
      <c r="M115" s="61"/>
      <c r="N115" s="60"/>
      <c r="O115" s="91"/>
      <c r="P115" s="27"/>
      <c r="Q115" s="80"/>
      <c r="R115" s="80"/>
      <c r="S115" s="81"/>
      <c r="T115" s="81"/>
      <c r="U115" s="81"/>
      <c r="V115" s="81"/>
      <c r="W115" s="80"/>
      <c r="X115" s="627"/>
      <c r="Y115" s="11"/>
    </row>
    <row r="116" spans="1:25" ht="20.100000000000001" customHeight="1" x14ac:dyDescent="0.2">
      <c r="A116" s="621" t="s">
        <v>534</v>
      </c>
      <c r="B116" s="24" t="s">
        <v>535</v>
      </c>
      <c r="C116" s="25" t="s">
        <v>26</v>
      </c>
      <c r="D116" s="674" t="s">
        <v>536</v>
      </c>
      <c r="E116" s="608"/>
      <c r="F116" s="33"/>
      <c r="G116" s="69"/>
      <c r="H116" s="33"/>
      <c r="I116" s="37"/>
      <c r="J116" s="37"/>
      <c r="K116" s="37"/>
      <c r="L116" s="37"/>
      <c r="M116" s="69"/>
      <c r="N116" s="69"/>
      <c r="O116" s="46">
        <v>100.408</v>
      </c>
      <c r="P116" s="40" t="s">
        <v>538</v>
      </c>
      <c r="Q116" s="41">
        <v>13.6</v>
      </c>
      <c r="R116" s="41" t="s">
        <v>539</v>
      </c>
      <c r="S116" s="42">
        <v>27</v>
      </c>
      <c r="T116" s="42">
        <v>13</v>
      </c>
      <c r="U116" s="42">
        <v>17</v>
      </c>
      <c r="V116" s="42">
        <v>0</v>
      </c>
      <c r="W116" s="41">
        <v>13</v>
      </c>
      <c r="X116" s="615"/>
      <c r="Y116" s="11"/>
    </row>
    <row r="117" spans="1:25" ht="20.100000000000001" customHeight="1" x14ac:dyDescent="0.2">
      <c r="A117" s="621" t="s">
        <v>540</v>
      </c>
      <c r="B117" s="24" t="s">
        <v>541</v>
      </c>
      <c r="C117" s="25" t="s">
        <v>68</v>
      </c>
      <c r="D117" s="674" t="s">
        <v>542</v>
      </c>
      <c r="E117" s="608"/>
      <c r="F117" s="33"/>
      <c r="G117" s="69"/>
      <c r="H117" s="33"/>
      <c r="I117" s="37"/>
      <c r="J117" s="37"/>
      <c r="K117" s="37"/>
      <c r="L117" s="37"/>
      <c r="M117" s="69"/>
      <c r="N117" s="69"/>
      <c r="O117" s="46">
        <v>2.9260000000000002</v>
      </c>
      <c r="P117" s="29" t="s">
        <v>543</v>
      </c>
      <c r="Q117" s="30"/>
      <c r="R117" s="30"/>
      <c r="S117" s="31"/>
      <c r="T117" s="31"/>
      <c r="U117" s="31"/>
      <c r="V117" s="31"/>
      <c r="W117" s="30"/>
      <c r="X117" s="614"/>
      <c r="Y117" s="11"/>
    </row>
    <row r="118" spans="1:25" ht="20.100000000000001" customHeight="1" x14ac:dyDescent="0.2">
      <c r="A118" s="621" t="s">
        <v>544</v>
      </c>
      <c r="B118" s="24" t="s">
        <v>545</v>
      </c>
      <c r="C118" s="25" t="s">
        <v>68</v>
      </c>
      <c r="D118" s="674" t="s">
        <v>546</v>
      </c>
      <c r="E118" s="608"/>
      <c r="F118" s="33"/>
      <c r="G118" s="69"/>
      <c r="H118" s="33"/>
      <c r="I118" s="37"/>
      <c r="J118" s="37"/>
      <c r="K118" s="37"/>
      <c r="L118" s="37"/>
      <c r="M118" s="69"/>
      <c r="N118" s="69"/>
      <c r="O118" s="46">
        <v>1.8979999999999999</v>
      </c>
      <c r="P118" s="29" t="s">
        <v>547</v>
      </c>
      <c r="Q118" s="30"/>
      <c r="R118" s="30"/>
      <c r="S118" s="31"/>
      <c r="T118" s="31"/>
      <c r="U118" s="31"/>
      <c r="V118" s="31"/>
      <c r="W118" s="30"/>
      <c r="X118" s="614"/>
      <c r="Y118" s="11"/>
    </row>
    <row r="119" spans="1:25" s="2" customFormat="1" ht="20.100000000000001" customHeight="1" x14ac:dyDescent="0.2">
      <c r="A119" s="621" t="s">
        <v>548</v>
      </c>
      <c r="B119" s="24" t="s">
        <v>549</v>
      </c>
      <c r="C119" s="90" t="s">
        <v>68</v>
      </c>
      <c r="D119" s="674" t="s">
        <v>550</v>
      </c>
      <c r="E119" s="663"/>
      <c r="F119" s="82"/>
      <c r="G119" s="51"/>
      <c r="H119" s="82"/>
      <c r="I119" s="50"/>
      <c r="J119" s="50"/>
      <c r="K119" s="50"/>
      <c r="L119" s="50"/>
      <c r="M119" s="51"/>
      <c r="N119" s="51"/>
      <c r="O119" s="46">
        <v>14.972000000000001</v>
      </c>
      <c r="P119" s="28" t="s">
        <v>551</v>
      </c>
      <c r="Q119" s="46">
        <v>3.6</v>
      </c>
      <c r="R119" s="46" t="s">
        <v>552</v>
      </c>
      <c r="S119" s="47">
        <v>9</v>
      </c>
      <c r="T119" s="47">
        <v>3</v>
      </c>
      <c r="U119" s="47">
        <v>3</v>
      </c>
      <c r="V119" s="47">
        <v>0</v>
      </c>
      <c r="W119" s="46"/>
      <c r="X119" s="617"/>
    </row>
    <row r="120" spans="1:25" ht="20.100000000000001" customHeight="1" x14ac:dyDescent="0.2">
      <c r="A120" s="621" t="s">
        <v>553</v>
      </c>
      <c r="B120" s="24" t="s">
        <v>554</v>
      </c>
      <c r="C120" s="25" t="s">
        <v>68</v>
      </c>
      <c r="D120" s="674" t="s">
        <v>555</v>
      </c>
      <c r="E120" s="608"/>
      <c r="F120" s="33"/>
      <c r="G120" s="69"/>
      <c r="H120" s="33"/>
      <c r="I120" s="37"/>
      <c r="J120" s="37"/>
      <c r="K120" s="37"/>
      <c r="L120" s="37"/>
      <c r="M120" s="69"/>
      <c r="N120" s="69"/>
      <c r="O120" s="46">
        <v>3.8190000000000004</v>
      </c>
      <c r="P120" s="29" t="s">
        <v>556</v>
      </c>
      <c r="Q120" s="30"/>
      <c r="R120" s="41"/>
      <c r="S120" s="41"/>
      <c r="T120" s="41"/>
      <c r="U120" s="41"/>
      <c r="V120" s="41"/>
      <c r="W120" s="41"/>
      <c r="X120" s="615"/>
      <c r="Y120" s="11"/>
    </row>
    <row r="121" spans="1:25" s="2" customFormat="1" ht="20.100000000000001" customHeight="1" x14ac:dyDescent="0.2">
      <c r="A121" s="621" t="s">
        <v>557</v>
      </c>
      <c r="B121" s="24" t="s">
        <v>558</v>
      </c>
      <c r="C121" s="90" t="s">
        <v>68</v>
      </c>
      <c r="D121" s="674" t="s">
        <v>559</v>
      </c>
      <c r="E121" s="663"/>
      <c r="F121" s="82"/>
      <c r="G121" s="51"/>
      <c r="H121" s="82"/>
      <c r="I121" s="50"/>
      <c r="J121" s="50"/>
      <c r="K121" s="50"/>
      <c r="L121" s="50"/>
      <c r="M121" s="51"/>
      <c r="N121" s="51"/>
      <c r="O121" s="46">
        <v>22.146999999999991</v>
      </c>
      <c r="P121" s="28" t="s">
        <v>560</v>
      </c>
      <c r="Q121" s="46">
        <v>22.5</v>
      </c>
      <c r="R121" s="41" t="s">
        <v>561</v>
      </c>
      <c r="S121" s="41">
        <v>59</v>
      </c>
      <c r="T121" s="41">
        <v>2</v>
      </c>
      <c r="U121" s="41">
        <v>9</v>
      </c>
      <c r="V121" s="41">
        <v>0</v>
      </c>
      <c r="W121" s="41">
        <f>338.3-338.181</f>
        <v>0.11900000000002819</v>
      </c>
      <c r="X121" s="615" t="s">
        <v>562</v>
      </c>
    </row>
    <row r="122" spans="1:25" ht="20.100000000000001" customHeight="1" x14ac:dyDescent="0.2">
      <c r="A122" s="621" t="s">
        <v>563</v>
      </c>
      <c r="B122" s="24" t="s">
        <v>564</v>
      </c>
      <c r="C122" s="25" t="s">
        <v>68</v>
      </c>
      <c r="D122" s="674" t="s">
        <v>565</v>
      </c>
      <c r="E122" s="608"/>
      <c r="F122" s="33"/>
      <c r="G122" s="69"/>
      <c r="H122" s="33"/>
      <c r="I122" s="37"/>
      <c r="J122" s="37"/>
      <c r="K122" s="37"/>
      <c r="L122" s="37"/>
      <c r="M122" s="69"/>
      <c r="N122" s="69"/>
      <c r="O122" s="46">
        <v>28.81</v>
      </c>
      <c r="P122" s="29" t="s">
        <v>566</v>
      </c>
      <c r="Q122" s="30"/>
      <c r="R122" s="41"/>
      <c r="S122" s="41"/>
      <c r="T122" s="41"/>
      <c r="U122" s="41"/>
      <c r="V122" s="41"/>
      <c r="W122" s="41"/>
      <c r="X122" s="615"/>
      <c r="Y122" s="11"/>
    </row>
    <row r="123" spans="1:25" ht="20.100000000000001" customHeight="1" x14ac:dyDescent="0.2">
      <c r="A123" s="621" t="s">
        <v>567</v>
      </c>
      <c r="B123" s="24" t="s">
        <v>568</v>
      </c>
      <c r="C123" s="25" t="s">
        <v>36</v>
      </c>
      <c r="D123" s="674" t="s">
        <v>569</v>
      </c>
      <c r="E123" s="608"/>
      <c r="F123" s="33"/>
      <c r="G123" s="69"/>
      <c r="H123" s="33"/>
      <c r="I123" s="37"/>
      <c r="J123" s="37"/>
      <c r="K123" s="37"/>
      <c r="L123" s="37"/>
      <c r="M123" s="69"/>
      <c r="N123" s="69"/>
      <c r="O123" s="46">
        <v>21.018999999999998</v>
      </c>
      <c r="P123" s="29" t="s">
        <v>570</v>
      </c>
      <c r="Q123" s="30"/>
      <c r="R123" s="41"/>
      <c r="S123" s="41"/>
      <c r="T123" s="41"/>
      <c r="U123" s="41"/>
      <c r="V123" s="41"/>
      <c r="W123" s="41">
        <v>11</v>
      </c>
      <c r="X123" s="615"/>
      <c r="Y123" s="11"/>
    </row>
    <row r="124" spans="1:25" ht="21.75" customHeight="1" x14ac:dyDescent="0.2">
      <c r="A124" s="621" t="s">
        <v>571</v>
      </c>
      <c r="B124" s="24" t="s">
        <v>572</v>
      </c>
      <c r="C124" s="25" t="s">
        <v>36</v>
      </c>
      <c r="D124" s="674" t="s">
        <v>573</v>
      </c>
      <c r="E124" s="611">
        <v>2.8570000000000002</v>
      </c>
      <c r="F124" s="72" t="s">
        <v>575</v>
      </c>
      <c r="G124" s="74"/>
      <c r="H124" s="72"/>
      <c r="I124" s="73"/>
      <c r="J124" s="73"/>
      <c r="K124" s="73"/>
      <c r="L124" s="73"/>
      <c r="M124" s="74">
        <v>2.9</v>
      </c>
      <c r="N124" s="74"/>
      <c r="O124" s="46">
        <v>36.316000000000003</v>
      </c>
      <c r="P124" s="40" t="s">
        <v>574</v>
      </c>
      <c r="Q124" s="40"/>
      <c r="R124" s="41"/>
      <c r="S124" s="41"/>
      <c r="T124" s="41"/>
      <c r="U124" s="41"/>
      <c r="V124" s="41"/>
      <c r="W124" s="41">
        <v>37</v>
      </c>
      <c r="X124" s="615"/>
      <c r="Y124" s="11"/>
    </row>
    <row r="125" spans="1:25" ht="20.100000000000001" customHeight="1" x14ac:dyDescent="0.2">
      <c r="A125" s="621" t="s">
        <v>576</v>
      </c>
      <c r="B125" s="24" t="s">
        <v>577</v>
      </c>
      <c r="C125" s="25" t="s">
        <v>36</v>
      </c>
      <c r="D125" s="674" t="s">
        <v>578</v>
      </c>
      <c r="E125" s="608"/>
      <c r="F125" s="33"/>
      <c r="G125" s="69"/>
      <c r="H125" s="33"/>
      <c r="I125" s="37"/>
      <c r="J125" s="37"/>
      <c r="K125" s="37"/>
      <c r="L125" s="37"/>
      <c r="M125" s="69"/>
      <c r="N125" s="69"/>
      <c r="O125" s="46">
        <v>6.0369999999999999</v>
      </c>
      <c r="P125" s="29" t="s">
        <v>579</v>
      </c>
      <c r="Q125" s="30"/>
      <c r="R125" s="41"/>
      <c r="S125" s="41"/>
      <c r="T125" s="41"/>
      <c r="U125" s="41"/>
      <c r="V125" s="41"/>
      <c r="W125" s="41">
        <v>3</v>
      </c>
      <c r="X125" s="615"/>
      <c r="Y125" s="11"/>
    </row>
    <row r="126" spans="1:25" ht="20.100000000000001" customHeight="1" x14ac:dyDescent="0.2">
      <c r="A126" s="621" t="s">
        <v>580</v>
      </c>
      <c r="B126" s="24" t="s">
        <v>581</v>
      </c>
      <c r="C126" s="25" t="s">
        <v>36</v>
      </c>
      <c r="D126" s="674" t="s">
        <v>582</v>
      </c>
      <c r="E126" s="608"/>
      <c r="F126" s="33"/>
      <c r="G126" s="69"/>
      <c r="H126" s="33"/>
      <c r="I126" s="37"/>
      <c r="J126" s="37"/>
      <c r="K126" s="37"/>
      <c r="L126" s="37"/>
      <c r="M126" s="69"/>
      <c r="N126" s="69"/>
      <c r="O126" s="46">
        <v>23.085000000000001</v>
      </c>
      <c r="P126" s="29" t="s">
        <v>583</v>
      </c>
      <c r="Q126" s="30"/>
      <c r="R126" s="41"/>
      <c r="S126" s="41"/>
      <c r="T126" s="41"/>
      <c r="U126" s="41"/>
      <c r="V126" s="41"/>
      <c r="W126" s="41"/>
      <c r="X126" s="615"/>
      <c r="Y126" s="11"/>
    </row>
    <row r="127" spans="1:25" s="2" customFormat="1" ht="19.350000000000001" customHeight="1" x14ac:dyDescent="0.2">
      <c r="A127" s="621" t="s">
        <v>584</v>
      </c>
      <c r="B127" s="24" t="s">
        <v>585</v>
      </c>
      <c r="C127" s="90" t="s">
        <v>68</v>
      </c>
      <c r="D127" s="674" t="s">
        <v>586</v>
      </c>
      <c r="E127" s="609">
        <v>5.1760000000000002</v>
      </c>
      <c r="F127" s="59" t="s">
        <v>587</v>
      </c>
      <c r="G127" s="61">
        <v>3.8</v>
      </c>
      <c r="H127" s="59" t="s">
        <v>588</v>
      </c>
      <c r="I127" s="473">
        <v>8</v>
      </c>
      <c r="J127" s="473">
        <v>0</v>
      </c>
      <c r="K127" s="473">
        <v>3</v>
      </c>
      <c r="L127" s="60">
        <v>0</v>
      </c>
      <c r="M127" s="61">
        <v>0</v>
      </c>
      <c r="N127" s="61"/>
      <c r="O127" s="266"/>
      <c r="P127" s="266"/>
      <c r="Q127" s="266"/>
      <c r="R127" s="266"/>
      <c r="S127" s="267"/>
      <c r="T127" s="267"/>
      <c r="U127" s="267"/>
      <c r="V127" s="267"/>
      <c r="W127" s="266"/>
      <c r="X127" s="628"/>
    </row>
    <row r="128" spans="1:25" ht="21" x14ac:dyDescent="0.2">
      <c r="A128" s="621" t="s">
        <v>589</v>
      </c>
      <c r="B128" s="24" t="s">
        <v>590</v>
      </c>
      <c r="C128" s="25" t="s">
        <v>26</v>
      </c>
      <c r="D128" s="674" t="s">
        <v>591</v>
      </c>
      <c r="E128" s="608"/>
      <c r="F128" s="33"/>
      <c r="G128" s="69"/>
      <c r="H128" s="33"/>
      <c r="I128" s="37"/>
      <c r="J128" s="37"/>
      <c r="K128" s="37"/>
      <c r="L128" s="37"/>
      <c r="M128" s="69"/>
      <c r="N128" s="69"/>
      <c r="O128" s="46">
        <v>97.483000000000004</v>
      </c>
      <c r="P128" s="40" t="s">
        <v>1715</v>
      </c>
      <c r="Q128" s="41" t="s">
        <v>593</v>
      </c>
      <c r="R128" s="41" t="s">
        <v>592</v>
      </c>
      <c r="S128" s="42">
        <v>36</v>
      </c>
      <c r="T128" s="42">
        <v>2</v>
      </c>
      <c r="U128" s="42">
        <v>12</v>
      </c>
      <c r="V128" s="42">
        <v>0</v>
      </c>
      <c r="W128" s="41"/>
      <c r="X128" s="615"/>
      <c r="Y128" s="11"/>
    </row>
    <row r="129" spans="1:25" ht="24" customHeight="1" x14ac:dyDescent="0.2">
      <c r="A129" s="621" t="s">
        <v>594</v>
      </c>
      <c r="B129" s="24" t="s">
        <v>595</v>
      </c>
      <c r="C129" s="25" t="s">
        <v>68</v>
      </c>
      <c r="D129" s="674" t="s">
        <v>596</v>
      </c>
      <c r="E129" s="665"/>
      <c r="F129" s="602"/>
      <c r="G129" s="603"/>
      <c r="H129" s="602"/>
      <c r="I129" s="604"/>
      <c r="J129" s="604"/>
      <c r="K129" s="604"/>
      <c r="L129" s="604"/>
      <c r="M129" s="603"/>
      <c r="N129" s="603"/>
      <c r="O129" s="46">
        <v>0.80300000000000005</v>
      </c>
      <c r="P129" s="29" t="s">
        <v>597</v>
      </c>
      <c r="Q129" s="30"/>
      <c r="R129" s="30"/>
      <c r="S129" s="31"/>
      <c r="T129" s="31"/>
      <c r="U129" s="31"/>
      <c r="V129" s="31"/>
      <c r="W129" s="30"/>
      <c r="X129" s="614"/>
      <c r="Y129" s="11"/>
    </row>
    <row r="130" spans="1:25" ht="20.100000000000001" customHeight="1" x14ac:dyDescent="0.2">
      <c r="A130" s="621" t="s">
        <v>598</v>
      </c>
      <c r="B130" s="498" t="s">
        <v>599</v>
      </c>
      <c r="C130" s="100" t="s">
        <v>36</v>
      </c>
      <c r="D130" s="674" t="s">
        <v>600</v>
      </c>
      <c r="E130" s="666"/>
      <c r="F130" s="605"/>
      <c r="G130" s="606"/>
      <c r="H130" s="605"/>
      <c r="I130" s="607"/>
      <c r="J130" s="607"/>
      <c r="K130" s="607"/>
      <c r="L130" s="607"/>
      <c r="M130" s="606"/>
      <c r="N130" s="606"/>
      <c r="O130" s="46">
        <v>1.0980000000000001</v>
      </c>
      <c r="P130" s="40" t="s">
        <v>1716</v>
      </c>
      <c r="Q130" s="41"/>
      <c r="R130" s="41"/>
      <c r="S130" s="42"/>
      <c r="T130" s="42"/>
      <c r="U130" s="42"/>
      <c r="V130" s="42"/>
      <c r="W130" s="41"/>
      <c r="X130" s="615"/>
      <c r="Y130" s="11"/>
    </row>
    <row r="131" spans="1:25" ht="20.100000000000001" customHeight="1" x14ac:dyDescent="0.2">
      <c r="A131" s="621">
        <v>1006</v>
      </c>
      <c r="B131" s="498" t="s">
        <v>601</v>
      </c>
      <c r="C131" s="100" t="s">
        <v>36</v>
      </c>
      <c r="D131" s="674" t="s">
        <v>602</v>
      </c>
      <c r="E131" s="663"/>
      <c r="F131" s="82"/>
      <c r="G131" s="51"/>
      <c r="H131" s="82"/>
      <c r="I131" s="50"/>
      <c r="J131" s="50"/>
      <c r="K131" s="50"/>
      <c r="L131" s="50"/>
      <c r="M131" s="51"/>
      <c r="N131" s="51"/>
      <c r="O131" s="46">
        <v>0.98099999999999998</v>
      </c>
      <c r="P131" s="29" t="s">
        <v>603</v>
      </c>
      <c r="Q131" s="30"/>
      <c r="R131" s="30"/>
      <c r="S131" s="31"/>
      <c r="T131" s="31"/>
      <c r="U131" s="31"/>
      <c r="V131" s="31"/>
      <c r="W131" s="30"/>
      <c r="X131" s="614"/>
      <c r="Y131" s="11"/>
    </row>
    <row r="132" spans="1:25" ht="20.100000000000001" customHeight="1" x14ac:dyDescent="0.2">
      <c r="A132" s="621" t="s">
        <v>604</v>
      </c>
      <c r="B132" s="24" t="s">
        <v>605</v>
      </c>
      <c r="C132" s="25" t="s">
        <v>68</v>
      </c>
      <c r="D132" s="674" t="s">
        <v>606</v>
      </c>
      <c r="E132" s="609">
        <v>23.428000000000001</v>
      </c>
      <c r="F132" s="59" t="s">
        <v>607</v>
      </c>
      <c r="G132" s="61">
        <v>0</v>
      </c>
      <c r="H132" s="59"/>
      <c r="I132" s="60">
        <v>0</v>
      </c>
      <c r="J132" s="60">
        <v>0</v>
      </c>
      <c r="K132" s="60">
        <v>0</v>
      </c>
      <c r="L132" s="60"/>
      <c r="M132" s="61">
        <v>23.428000000000001</v>
      </c>
      <c r="N132" s="59" t="s">
        <v>607</v>
      </c>
      <c r="O132" s="91"/>
      <c r="P132" s="27"/>
      <c r="Q132" s="27"/>
      <c r="R132" s="27"/>
      <c r="S132" s="37"/>
      <c r="T132" s="37"/>
      <c r="U132" s="37"/>
      <c r="V132" s="37"/>
      <c r="W132" s="27"/>
      <c r="X132" s="629"/>
      <c r="Y132" s="11"/>
    </row>
    <row r="133" spans="1:25" ht="20.100000000000001" customHeight="1" x14ac:dyDescent="0.2">
      <c r="A133" s="621" t="s">
        <v>608</v>
      </c>
      <c r="B133" s="24" t="s">
        <v>609</v>
      </c>
      <c r="C133" s="25" t="s">
        <v>68</v>
      </c>
      <c r="D133" s="674" t="s">
        <v>610</v>
      </c>
      <c r="E133" s="608"/>
      <c r="F133" s="33"/>
      <c r="G133" s="69"/>
      <c r="H133" s="33"/>
      <c r="I133" s="37"/>
      <c r="J133" s="37"/>
      <c r="K133" s="37"/>
      <c r="L133" s="37"/>
      <c r="M133" s="69"/>
      <c r="N133" s="69"/>
      <c r="O133" s="46">
        <v>10.548</v>
      </c>
      <c r="P133" s="29" t="s">
        <v>611</v>
      </c>
      <c r="Q133" s="30"/>
      <c r="R133" s="30"/>
      <c r="S133" s="31"/>
      <c r="T133" s="31"/>
      <c r="U133" s="31"/>
      <c r="V133" s="31"/>
      <c r="W133" s="30"/>
      <c r="X133" s="614"/>
      <c r="Y133" s="11"/>
    </row>
    <row r="134" spans="1:25" ht="20.100000000000001" customHeight="1" x14ac:dyDescent="0.2">
      <c r="A134" s="621" t="s">
        <v>612</v>
      </c>
      <c r="B134" s="24" t="s">
        <v>613</v>
      </c>
      <c r="C134" s="25" t="s">
        <v>68</v>
      </c>
      <c r="D134" s="674" t="s">
        <v>614</v>
      </c>
      <c r="E134" s="608"/>
      <c r="F134" s="33"/>
      <c r="G134" s="69"/>
      <c r="H134" s="33"/>
      <c r="I134" s="37"/>
      <c r="J134" s="37"/>
      <c r="K134" s="37"/>
      <c r="L134" s="37"/>
      <c r="M134" s="69"/>
      <c r="N134" s="69"/>
      <c r="O134" s="46">
        <v>14.395999999999999</v>
      </c>
      <c r="P134" s="29" t="s">
        <v>615</v>
      </c>
      <c r="Q134" s="30"/>
      <c r="R134" s="30"/>
      <c r="S134" s="30"/>
      <c r="T134" s="30"/>
      <c r="U134" s="30"/>
      <c r="V134" s="30"/>
      <c r="W134" s="30"/>
      <c r="X134" s="614"/>
      <c r="Y134" s="11"/>
    </row>
    <row r="135" spans="1:25" ht="21" x14ac:dyDescent="0.2">
      <c r="A135" s="621" t="s">
        <v>616</v>
      </c>
      <c r="B135" s="498" t="s">
        <v>617</v>
      </c>
      <c r="C135" s="100" t="s">
        <v>36</v>
      </c>
      <c r="D135" s="674" t="s">
        <v>618</v>
      </c>
      <c r="E135" s="611">
        <v>28.26</v>
      </c>
      <c r="F135" s="72" t="s">
        <v>622</v>
      </c>
      <c r="G135" s="74">
        <v>15.2</v>
      </c>
      <c r="H135" s="61" t="s">
        <v>623</v>
      </c>
      <c r="I135" s="61">
        <v>29</v>
      </c>
      <c r="J135" s="61">
        <v>0</v>
      </c>
      <c r="K135" s="61">
        <v>2</v>
      </c>
      <c r="L135" s="61">
        <v>8</v>
      </c>
      <c r="M135" s="61">
        <v>29</v>
      </c>
      <c r="N135" s="61" t="s">
        <v>622</v>
      </c>
      <c r="O135" s="46">
        <v>47.162999999999997</v>
      </c>
      <c r="P135" s="40" t="s">
        <v>619</v>
      </c>
      <c r="Q135" s="30">
        <v>28.6</v>
      </c>
      <c r="R135" s="30" t="s">
        <v>620</v>
      </c>
      <c r="S135" s="30">
        <v>53</v>
      </c>
      <c r="T135" s="30">
        <v>0</v>
      </c>
      <c r="U135" s="30">
        <v>20</v>
      </c>
      <c r="V135" s="30">
        <v>0</v>
      </c>
      <c r="W135" s="30">
        <f>86.7-85.549+160.972-158.7</f>
        <v>3.4230000000000018</v>
      </c>
      <c r="X135" s="614" t="s">
        <v>621</v>
      </c>
      <c r="Y135" s="11"/>
    </row>
    <row r="136" spans="1:25" ht="20.100000000000001" customHeight="1" x14ac:dyDescent="0.2">
      <c r="A136" s="621" t="s">
        <v>625</v>
      </c>
      <c r="B136" s="24" t="s">
        <v>626</v>
      </c>
      <c r="C136" s="25" t="s">
        <v>627</v>
      </c>
      <c r="D136" s="674" t="s">
        <v>628</v>
      </c>
      <c r="E136" s="608"/>
      <c r="F136" s="33"/>
      <c r="G136" s="69"/>
      <c r="H136" s="33"/>
      <c r="I136" s="37"/>
      <c r="J136" s="37"/>
      <c r="K136" s="37"/>
      <c r="L136" s="37"/>
      <c r="M136" s="69"/>
      <c r="N136" s="69"/>
      <c r="O136" s="30">
        <v>17.390999999999998</v>
      </c>
      <c r="P136" s="29" t="s">
        <v>629</v>
      </c>
      <c r="Q136" s="94">
        <v>14</v>
      </c>
      <c r="R136" s="30" t="s">
        <v>1758</v>
      </c>
      <c r="S136" s="31">
        <v>7</v>
      </c>
      <c r="T136" s="31"/>
      <c r="U136" s="31">
        <v>4</v>
      </c>
      <c r="V136" s="31">
        <v>21</v>
      </c>
      <c r="W136" s="94">
        <v>3.4</v>
      </c>
      <c r="X136" s="614" t="s">
        <v>630</v>
      </c>
      <c r="Y136" s="11"/>
    </row>
    <row r="137" spans="1:25" ht="20.100000000000001" customHeight="1" x14ac:dyDescent="0.2">
      <c r="A137" s="621" t="s">
        <v>631</v>
      </c>
      <c r="B137" s="24" t="s">
        <v>632</v>
      </c>
      <c r="C137" s="25" t="s">
        <v>633</v>
      </c>
      <c r="D137" s="674" t="s">
        <v>634</v>
      </c>
      <c r="E137" s="608"/>
      <c r="F137" s="33"/>
      <c r="G137" s="69"/>
      <c r="H137" s="33"/>
      <c r="I137" s="37"/>
      <c r="J137" s="37"/>
      <c r="K137" s="37"/>
      <c r="L137" s="37"/>
      <c r="M137" s="69"/>
      <c r="N137" s="69"/>
      <c r="O137" s="46">
        <v>10.475</v>
      </c>
      <c r="P137" s="29" t="s">
        <v>1813</v>
      </c>
      <c r="Q137" s="94"/>
      <c r="R137" s="30"/>
      <c r="S137" s="31"/>
      <c r="T137" s="31"/>
      <c r="U137" s="31"/>
      <c r="V137" s="31"/>
      <c r="W137" s="94"/>
      <c r="X137" s="614"/>
      <c r="Y137" s="11"/>
    </row>
    <row r="138" spans="1:25" ht="20.100000000000001" customHeight="1" x14ac:dyDescent="0.2">
      <c r="A138" s="621" t="s">
        <v>635</v>
      </c>
      <c r="B138" s="498" t="s">
        <v>636</v>
      </c>
      <c r="C138" s="100" t="s">
        <v>36</v>
      </c>
      <c r="D138" s="674" t="s">
        <v>637</v>
      </c>
      <c r="E138" s="611">
        <v>11.009</v>
      </c>
      <c r="F138" s="71" t="s">
        <v>1809</v>
      </c>
      <c r="G138" s="79"/>
      <c r="H138" s="71"/>
      <c r="I138" s="78"/>
      <c r="J138" s="78"/>
      <c r="K138" s="78"/>
      <c r="L138" s="78"/>
      <c r="M138" s="79">
        <v>12</v>
      </c>
      <c r="N138" s="79"/>
      <c r="O138" s="46">
        <v>7.2370000000000001</v>
      </c>
      <c r="P138" s="29" t="s">
        <v>1808</v>
      </c>
      <c r="Q138" s="29"/>
      <c r="R138" s="29"/>
      <c r="S138" s="68"/>
      <c r="T138" s="68"/>
      <c r="U138" s="68"/>
      <c r="V138" s="68"/>
      <c r="W138" s="29">
        <v>7</v>
      </c>
      <c r="X138" s="630"/>
      <c r="Y138" s="11"/>
    </row>
    <row r="139" spans="1:25" ht="20.100000000000001" customHeight="1" x14ac:dyDescent="0.2">
      <c r="A139" s="621" t="s">
        <v>638</v>
      </c>
      <c r="B139" s="24" t="s">
        <v>639</v>
      </c>
      <c r="C139" s="25" t="s">
        <v>36</v>
      </c>
      <c r="D139" s="674" t="s">
        <v>640</v>
      </c>
      <c r="E139" s="611">
        <v>13.364000000000001</v>
      </c>
      <c r="F139" s="71" t="s">
        <v>642</v>
      </c>
      <c r="G139" s="79"/>
      <c r="H139" s="71"/>
      <c r="I139" s="78"/>
      <c r="J139" s="78"/>
      <c r="K139" s="78"/>
      <c r="L139" s="78"/>
      <c r="M139" s="79">
        <v>14</v>
      </c>
      <c r="N139" s="79"/>
      <c r="O139" s="46">
        <v>1.1799999999999997</v>
      </c>
      <c r="P139" s="29" t="s">
        <v>641</v>
      </c>
      <c r="Q139" s="29"/>
      <c r="R139" s="29"/>
      <c r="S139" s="68"/>
      <c r="T139" s="68"/>
      <c r="U139" s="68"/>
      <c r="V139" s="68"/>
      <c r="W139" s="29">
        <v>1</v>
      </c>
      <c r="X139" s="630"/>
      <c r="Y139" s="11"/>
    </row>
    <row r="140" spans="1:25" ht="20.100000000000001" customHeight="1" x14ac:dyDescent="0.2">
      <c r="A140" s="621" t="s">
        <v>643</v>
      </c>
      <c r="B140" s="24" t="s">
        <v>644</v>
      </c>
      <c r="C140" s="25" t="s">
        <v>36</v>
      </c>
      <c r="D140" s="674" t="s">
        <v>645</v>
      </c>
      <c r="E140" s="608"/>
      <c r="F140" s="33"/>
      <c r="G140" s="69"/>
      <c r="H140" s="33"/>
      <c r="I140" s="37"/>
      <c r="J140" s="37"/>
      <c r="K140" s="37"/>
      <c r="L140" s="37"/>
      <c r="M140" s="69"/>
      <c r="N140" s="69"/>
      <c r="O140" s="46">
        <v>96.896000000000001</v>
      </c>
      <c r="P140" s="29" t="s">
        <v>646</v>
      </c>
      <c r="Q140" s="30">
        <v>22</v>
      </c>
      <c r="R140" s="30" t="s">
        <v>1718</v>
      </c>
      <c r="S140" s="31">
        <v>47</v>
      </c>
      <c r="T140" s="31">
        <v>0</v>
      </c>
      <c r="U140" s="31">
        <v>24</v>
      </c>
      <c r="V140" s="31">
        <v>1</v>
      </c>
      <c r="W140" s="30">
        <v>24</v>
      </c>
      <c r="X140" s="614"/>
      <c r="Y140" s="11"/>
    </row>
    <row r="141" spans="1:25" ht="20.100000000000001" customHeight="1" x14ac:dyDescent="0.2">
      <c r="A141" s="621" t="s">
        <v>647</v>
      </c>
      <c r="B141" s="24" t="s">
        <v>648</v>
      </c>
      <c r="C141" s="25" t="s">
        <v>36</v>
      </c>
      <c r="D141" s="674" t="s">
        <v>649</v>
      </c>
      <c r="E141" s="608"/>
      <c r="F141" s="33"/>
      <c r="G141" s="69"/>
      <c r="H141" s="33"/>
      <c r="I141" s="37"/>
      <c r="J141" s="37"/>
      <c r="K141" s="37"/>
      <c r="L141" s="37"/>
      <c r="M141" s="69"/>
      <c r="N141" s="69"/>
      <c r="O141" s="46">
        <v>0.51900000000000546</v>
      </c>
      <c r="P141" s="29" t="s">
        <v>650</v>
      </c>
      <c r="Q141" s="30"/>
      <c r="R141" s="30"/>
      <c r="S141" s="31"/>
      <c r="T141" s="31"/>
      <c r="U141" s="31"/>
      <c r="V141" s="31"/>
      <c r="W141" s="30"/>
      <c r="X141" s="614"/>
      <c r="Y141" s="11"/>
    </row>
    <row r="142" spans="1:25" ht="20.100000000000001" customHeight="1" x14ac:dyDescent="0.2">
      <c r="A142" s="621" t="s">
        <v>651</v>
      </c>
      <c r="B142" s="24" t="s">
        <v>652</v>
      </c>
      <c r="C142" s="25" t="s">
        <v>36</v>
      </c>
      <c r="D142" s="674" t="s">
        <v>653</v>
      </c>
      <c r="E142" s="608"/>
      <c r="F142" s="33"/>
      <c r="G142" s="69"/>
      <c r="H142" s="33"/>
      <c r="I142" s="37"/>
      <c r="J142" s="37"/>
      <c r="K142" s="37"/>
      <c r="L142" s="37"/>
      <c r="M142" s="69"/>
      <c r="N142" s="69"/>
      <c r="O142" s="46">
        <v>2.9540000000000002</v>
      </c>
      <c r="P142" s="29" t="s">
        <v>654</v>
      </c>
      <c r="Q142" s="30"/>
      <c r="R142" s="30"/>
      <c r="S142" s="31"/>
      <c r="T142" s="31"/>
      <c r="U142" s="31"/>
      <c r="V142" s="31"/>
      <c r="W142" s="30"/>
      <c r="X142" s="614"/>
      <c r="Y142" s="11"/>
    </row>
    <row r="143" spans="1:25" ht="20.100000000000001" customHeight="1" x14ac:dyDescent="0.2">
      <c r="A143" s="621" t="s">
        <v>655</v>
      </c>
      <c r="B143" s="24" t="s">
        <v>656</v>
      </c>
      <c r="C143" s="25" t="s">
        <v>36</v>
      </c>
      <c r="D143" s="674" t="s">
        <v>657</v>
      </c>
      <c r="E143" s="608"/>
      <c r="F143" s="33"/>
      <c r="G143" s="69"/>
      <c r="H143" s="33"/>
      <c r="I143" s="37"/>
      <c r="J143" s="37"/>
      <c r="K143" s="37"/>
      <c r="L143" s="37"/>
      <c r="M143" s="69"/>
      <c r="N143" s="69"/>
      <c r="O143" s="46">
        <v>47.632999999999996</v>
      </c>
      <c r="P143" s="29" t="s">
        <v>658</v>
      </c>
      <c r="Q143" s="30"/>
      <c r="R143" s="30"/>
      <c r="S143" s="31"/>
      <c r="T143" s="31"/>
      <c r="U143" s="31"/>
      <c r="V143" s="31"/>
      <c r="W143" s="30">
        <v>30</v>
      </c>
      <c r="X143" s="614"/>
      <c r="Y143" s="11"/>
    </row>
    <row r="144" spans="1:25" ht="20.100000000000001" customHeight="1" x14ac:dyDescent="0.2">
      <c r="A144" s="621" t="s">
        <v>659</v>
      </c>
      <c r="B144" s="498" t="s">
        <v>660</v>
      </c>
      <c r="C144" s="100" t="s">
        <v>36</v>
      </c>
      <c r="D144" s="674" t="s">
        <v>661</v>
      </c>
      <c r="E144" s="608"/>
      <c r="F144" s="33"/>
      <c r="G144" s="69"/>
      <c r="H144" s="33"/>
      <c r="I144" s="37"/>
      <c r="J144" s="37"/>
      <c r="K144" s="37"/>
      <c r="L144" s="37"/>
      <c r="M144" s="69"/>
      <c r="N144" s="69"/>
      <c r="O144" s="46">
        <v>0.73399999999999999</v>
      </c>
      <c r="P144" s="29" t="s">
        <v>662</v>
      </c>
      <c r="Q144" s="30"/>
      <c r="R144" s="30"/>
      <c r="S144" s="31"/>
      <c r="T144" s="31"/>
      <c r="U144" s="31"/>
      <c r="V144" s="31"/>
      <c r="W144" s="30"/>
      <c r="X144" s="614"/>
      <c r="Y144" s="11"/>
    </row>
    <row r="145" spans="1:25" ht="20.25" customHeight="1" x14ac:dyDescent="0.2">
      <c r="A145" s="621" t="s">
        <v>663</v>
      </c>
      <c r="B145" s="498" t="s">
        <v>664</v>
      </c>
      <c r="C145" s="100" t="s">
        <v>36</v>
      </c>
      <c r="D145" s="674" t="s">
        <v>665</v>
      </c>
      <c r="E145" s="608"/>
      <c r="F145" s="64"/>
      <c r="G145" s="97"/>
      <c r="H145" s="64"/>
      <c r="I145" s="96"/>
      <c r="J145" s="96"/>
      <c r="K145" s="96"/>
      <c r="L145" s="96"/>
      <c r="M145" s="97"/>
      <c r="N145" s="97"/>
      <c r="O145" s="46">
        <v>58.014000000000003</v>
      </c>
      <c r="P145" s="40" t="s">
        <v>666</v>
      </c>
      <c r="Q145" s="40"/>
      <c r="R145" s="30"/>
      <c r="S145" s="30"/>
      <c r="T145" s="30"/>
      <c r="U145" s="30"/>
      <c r="V145" s="30"/>
      <c r="W145" s="30">
        <v>30</v>
      </c>
      <c r="X145" s="614"/>
      <c r="Y145" s="11"/>
    </row>
    <row r="146" spans="1:25" ht="20.100000000000001" customHeight="1" x14ac:dyDescent="0.2">
      <c r="A146" s="621" t="s">
        <v>668</v>
      </c>
      <c r="B146" s="498" t="s">
        <v>669</v>
      </c>
      <c r="C146" s="100" t="s">
        <v>36</v>
      </c>
      <c r="D146" s="674" t="s">
        <v>670</v>
      </c>
      <c r="E146" s="608"/>
      <c r="F146" s="33"/>
      <c r="G146" s="69"/>
      <c r="H146" s="33"/>
      <c r="I146" s="37"/>
      <c r="J146" s="37"/>
      <c r="K146" s="37"/>
      <c r="L146" s="37"/>
      <c r="M146" s="69"/>
      <c r="N146" s="69"/>
      <c r="O146" s="30">
        <v>1.9039999999999999</v>
      </c>
      <c r="P146" s="29" t="s">
        <v>671</v>
      </c>
      <c r="Q146" s="30"/>
      <c r="R146" s="30">
        <v>0</v>
      </c>
      <c r="S146" s="30"/>
      <c r="T146" s="30"/>
      <c r="U146" s="30"/>
      <c r="V146" s="30"/>
      <c r="W146" s="30">
        <f>3.054-1.15</f>
        <v>1.9039999999999999</v>
      </c>
      <c r="X146" s="614" t="s">
        <v>671</v>
      </c>
      <c r="Y146" s="11"/>
    </row>
    <row r="147" spans="1:25" ht="20.100000000000001" customHeight="1" x14ac:dyDescent="0.2">
      <c r="A147" s="621" t="s">
        <v>672</v>
      </c>
      <c r="B147" s="498" t="s">
        <v>673</v>
      </c>
      <c r="C147" s="100" t="s">
        <v>36</v>
      </c>
      <c r="D147" s="674" t="s">
        <v>674</v>
      </c>
      <c r="E147" s="608"/>
      <c r="F147" s="33"/>
      <c r="G147" s="69"/>
      <c r="H147" s="33"/>
      <c r="I147" s="37"/>
      <c r="J147" s="37"/>
      <c r="K147" s="37"/>
      <c r="L147" s="37"/>
      <c r="M147" s="69"/>
      <c r="N147" s="69"/>
      <c r="O147" s="46">
        <v>11.381</v>
      </c>
      <c r="P147" s="29" t="s">
        <v>675</v>
      </c>
      <c r="Q147" s="30">
        <v>45.8</v>
      </c>
      <c r="R147" s="30" t="s">
        <v>676</v>
      </c>
      <c r="S147" s="30">
        <v>82</v>
      </c>
      <c r="T147" s="30">
        <v>0</v>
      </c>
      <c r="U147" s="30">
        <v>22</v>
      </c>
      <c r="V147" s="30">
        <v>8</v>
      </c>
      <c r="W147" s="30"/>
      <c r="X147" s="614"/>
      <c r="Y147" s="11"/>
    </row>
    <row r="148" spans="1:25" ht="20.100000000000001" customHeight="1" x14ac:dyDescent="0.2">
      <c r="A148" s="621" t="s">
        <v>677</v>
      </c>
      <c r="B148" s="498" t="s">
        <v>678</v>
      </c>
      <c r="C148" s="100" t="s">
        <v>36</v>
      </c>
      <c r="D148" s="674" t="s">
        <v>679</v>
      </c>
      <c r="E148" s="608"/>
      <c r="F148" s="33"/>
      <c r="G148" s="69"/>
      <c r="H148" s="33"/>
      <c r="I148" s="37"/>
      <c r="J148" s="37"/>
      <c r="K148" s="37"/>
      <c r="L148" s="37"/>
      <c r="M148" s="69"/>
      <c r="N148" s="69"/>
      <c r="O148" s="46">
        <v>3.3449999999999989</v>
      </c>
      <c r="P148" s="29" t="s">
        <v>680</v>
      </c>
      <c r="Q148" s="30"/>
      <c r="R148" s="30"/>
      <c r="S148" s="31"/>
      <c r="T148" s="31"/>
      <c r="U148" s="31"/>
      <c r="V148" s="31"/>
      <c r="W148" s="30"/>
      <c r="X148" s="614"/>
      <c r="Y148" s="11"/>
    </row>
    <row r="149" spans="1:25" ht="20.100000000000001" customHeight="1" x14ac:dyDescent="0.2">
      <c r="A149" s="621" t="s">
        <v>681</v>
      </c>
      <c r="B149" s="498" t="s">
        <v>682</v>
      </c>
      <c r="C149" s="100" t="s">
        <v>36</v>
      </c>
      <c r="D149" s="674" t="s">
        <v>683</v>
      </c>
      <c r="E149" s="608"/>
      <c r="F149" s="33"/>
      <c r="G149" s="69"/>
      <c r="H149" s="33"/>
      <c r="I149" s="37"/>
      <c r="J149" s="37"/>
      <c r="K149" s="37"/>
      <c r="L149" s="37"/>
      <c r="M149" s="69"/>
      <c r="N149" s="69"/>
      <c r="O149" s="46">
        <v>4.7970000000000006</v>
      </c>
      <c r="P149" s="29" t="s">
        <v>684</v>
      </c>
      <c r="Q149" s="30"/>
      <c r="R149" s="30"/>
      <c r="S149" s="31"/>
      <c r="T149" s="31"/>
      <c r="U149" s="31"/>
      <c r="V149" s="31"/>
      <c r="W149" s="30">
        <v>3</v>
      </c>
      <c r="X149" s="614"/>
      <c r="Y149" s="11"/>
    </row>
    <row r="150" spans="1:25" ht="20.100000000000001" customHeight="1" x14ac:dyDescent="0.2">
      <c r="A150" s="621" t="s">
        <v>685</v>
      </c>
      <c r="B150" s="498" t="s">
        <v>686</v>
      </c>
      <c r="C150" s="100" t="s">
        <v>36</v>
      </c>
      <c r="D150" s="674" t="s">
        <v>687</v>
      </c>
      <c r="E150" s="608"/>
      <c r="F150" s="33"/>
      <c r="G150" s="69"/>
      <c r="H150" s="33"/>
      <c r="I150" s="37"/>
      <c r="J150" s="37"/>
      <c r="K150" s="37"/>
      <c r="L150" s="37"/>
      <c r="M150" s="69"/>
      <c r="N150" s="69"/>
      <c r="O150" s="46">
        <v>17.715</v>
      </c>
      <c r="P150" s="29" t="s">
        <v>688</v>
      </c>
      <c r="Q150" s="30"/>
      <c r="R150" s="30"/>
      <c r="S150" s="31"/>
      <c r="T150" s="31"/>
      <c r="U150" s="31"/>
      <c r="V150" s="31"/>
      <c r="W150" s="30">
        <v>9</v>
      </c>
      <c r="X150" s="614"/>
      <c r="Y150" s="11"/>
    </row>
    <row r="151" spans="1:25" ht="20.100000000000001" customHeight="1" x14ac:dyDescent="0.2">
      <c r="A151" s="621" t="s">
        <v>689</v>
      </c>
      <c r="B151" s="498" t="s">
        <v>690</v>
      </c>
      <c r="C151" s="100" t="s">
        <v>36</v>
      </c>
      <c r="D151" s="674" t="s">
        <v>691</v>
      </c>
      <c r="E151" s="608"/>
      <c r="F151" s="33"/>
      <c r="G151" s="69"/>
      <c r="H151" s="33"/>
      <c r="I151" s="37"/>
      <c r="J151" s="37"/>
      <c r="K151" s="37"/>
      <c r="L151" s="37"/>
      <c r="M151" s="69"/>
      <c r="N151" s="69"/>
      <c r="O151" s="46">
        <v>26.251000000000001</v>
      </c>
      <c r="P151" s="29" t="s">
        <v>692</v>
      </c>
      <c r="Q151" s="30"/>
      <c r="R151" s="30"/>
      <c r="S151" s="31"/>
      <c r="T151" s="31"/>
      <c r="U151" s="31"/>
      <c r="V151" s="31"/>
      <c r="W151" s="30">
        <v>13</v>
      </c>
      <c r="X151" s="614"/>
      <c r="Y151" s="11"/>
    </row>
    <row r="152" spans="1:25" s="2" customFormat="1" ht="20.100000000000001" customHeight="1" x14ac:dyDescent="0.2">
      <c r="A152" s="621" t="s">
        <v>693</v>
      </c>
      <c r="B152" s="24" t="s">
        <v>694</v>
      </c>
      <c r="C152" s="90" t="s">
        <v>68</v>
      </c>
      <c r="D152" s="674" t="s">
        <v>695</v>
      </c>
      <c r="E152" s="663"/>
      <c r="F152" s="82"/>
      <c r="G152" s="51"/>
      <c r="H152" s="82"/>
      <c r="I152" s="50"/>
      <c r="J152" s="50"/>
      <c r="K152" s="50"/>
      <c r="L152" s="50"/>
      <c r="M152" s="51"/>
      <c r="N152" s="51"/>
      <c r="O152" s="46">
        <v>39.69399999999996</v>
      </c>
      <c r="P152" s="28" t="s">
        <v>696</v>
      </c>
      <c r="Q152" s="46">
        <v>26.7</v>
      </c>
      <c r="R152" s="46" t="s">
        <v>697</v>
      </c>
      <c r="S152" s="47">
        <v>62</v>
      </c>
      <c r="T152" s="47">
        <v>9</v>
      </c>
      <c r="U152" s="47">
        <v>10</v>
      </c>
      <c r="V152" s="47">
        <v>0</v>
      </c>
      <c r="W152" s="46"/>
      <c r="X152" s="617"/>
    </row>
    <row r="153" spans="1:25" s="2" customFormat="1" ht="20.100000000000001" customHeight="1" x14ac:dyDescent="0.2">
      <c r="A153" s="621" t="s">
        <v>698</v>
      </c>
      <c r="B153" s="24" t="s">
        <v>699</v>
      </c>
      <c r="C153" s="90" t="s">
        <v>68</v>
      </c>
      <c r="D153" s="674" t="s">
        <v>700</v>
      </c>
      <c r="E153" s="663"/>
      <c r="F153" s="82"/>
      <c r="G153" s="51"/>
      <c r="H153" s="82"/>
      <c r="I153" s="50"/>
      <c r="J153" s="50"/>
      <c r="K153" s="50"/>
      <c r="L153" s="50"/>
      <c r="M153" s="51"/>
      <c r="N153" s="51"/>
      <c r="O153" s="46">
        <v>27.702000000000002</v>
      </c>
      <c r="P153" s="28" t="s">
        <v>701</v>
      </c>
      <c r="Q153" s="46">
        <v>6</v>
      </c>
      <c r="R153" s="46" t="s">
        <v>702</v>
      </c>
      <c r="S153" s="47">
        <v>12</v>
      </c>
      <c r="T153" s="47">
        <v>1</v>
      </c>
      <c r="U153" s="47">
        <v>0</v>
      </c>
      <c r="V153" s="47">
        <v>0</v>
      </c>
      <c r="W153" s="46"/>
      <c r="X153" s="617"/>
    </row>
    <row r="154" spans="1:25" ht="20.100000000000001" customHeight="1" x14ac:dyDescent="0.2">
      <c r="A154" s="621" t="s">
        <v>703</v>
      </c>
      <c r="B154" s="24" t="s">
        <v>704</v>
      </c>
      <c r="C154" s="25" t="s">
        <v>68</v>
      </c>
      <c r="D154" s="674" t="s">
        <v>705</v>
      </c>
      <c r="E154" s="608"/>
      <c r="F154" s="33"/>
      <c r="G154" s="69"/>
      <c r="H154" s="33"/>
      <c r="I154" s="37"/>
      <c r="J154" s="37"/>
      <c r="K154" s="37"/>
      <c r="L154" s="37"/>
      <c r="M154" s="69"/>
      <c r="N154" s="69"/>
      <c r="O154" s="46">
        <v>1.6179999999999999</v>
      </c>
      <c r="P154" s="29" t="s">
        <v>706</v>
      </c>
      <c r="Q154" s="30"/>
      <c r="R154" s="30"/>
      <c r="S154" s="31"/>
      <c r="T154" s="31"/>
      <c r="U154" s="31"/>
      <c r="V154" s="31"/>
      <c r="W154" s="30"/>
      <c r="X154" s="614"/>
      <c r="Y154" s="11"/>
    </row>
    <row r="155" spans="1:25" ht="20.100000000000001" customHeight="1" x14ac:dyDescent="0.2">
      <c r="A155" s="621" t="s">
        <v>707</v>
      </c>
      <c r="B155" s="24" t="s">
        <v>708</v>
      </c>
      <c r="C155" s="25" t="s">
        <v>68</v>
      </c>
      <c r="D155" s="674" t="s">
        <v>709</v>
      </c>
      <c r="E155" s="608"/>
      <c r="F155" s="33"/>
      <c r="G155" s="69"/>
      <c r="H155" s="33"/>
      <c r="I155" s="37"/>
      <c r="J155" s="37"/>
      <c r="K155" s="37"/>
      <c r="L155" s="37"/>
      <c r="M155" s="69"/>
      <c r="N155" s="69"/>
      <c r="O155" s="46">
        <v>1.6779999999999999</v>
      </c>
      <c r="P155" s="29" t="s">
        <v>710</v>
      </c>
      <c r="Q155" s="30"/>
      <c r="R155" s="30"/>
      <c r="S155" s="31"/>
      <c r="T155" s="31"/>
      <c r="U155" s="31"/>
      <c r="V155" s="31"/>
      <c r="W155" s="30"/>
      <c r="X155" s="614"/>
      <c r="Y155" s="11"/>
    </row>
    <row r="156" spans="1:25" s="2" customFormat="1" ht="42" x14ac:dyDescent="0.2">
      <c r="A156" s="621" t="s">
        <v>711</v>
      </c>
      <c r="B156" s="24" t="s">
        <v>712</v>
      </c>
      <c r="C156" s="90" t="s">
        <v>713</v>
      </c>
      <c r="D156" s="674" t="s">
        <v>714</v>
      </c>
      <c r="E156" s="609">
        <f>10.8+142.633</f>
        <v>153.43300000000002</v>
      </c>
      <c r="F156" s="98" t="s">
        <v>1689</v>
      </c>
      <c r="G156" s="61">
        <v>60.8</v>
      </c>
      <c r="H156" s="333" t="s">
        <v>1690</v>
      </c>
      <c r="I156" s="333">
        <v>143</v>
      </c>
      <c r="J156" s="333">
        <v>0</v>
      </c>
      <c r="K156" s="333">
        <v>143</v>
      </c>
      <c r="L156" s="333">
        <v>11</v>
      </c>
      <c r="M156" s="333">
        <v>13.1</v>
      </c>
      <c r="N156" s="77" t="s">
        <v>1691</v>
      </c>
      <c r="O156" s="46">
        <v>55.655000000000001</v>
      </c>
      <c r="P156" s="57" t="s">
        <v>717</v>
      </c>
      <c r="Q156" s="30">
        <v>14.8</v>
      </c>
      <c r="R156" s="30" t="s">
        <v>718</v>
      </c>
      <c r="S156" s="31">
        <v>31</v>
      </c>
      <c r="T156" s="31">
        <v>1</v>
      </c>
      <c r="U156" s="31">
        <v>0</v>
      </c>
      <c r="V156" s="31">
        <v>0</v>
      </c>
      <c r="W156" s="30">
        <f>90.72-89.62+100.9-99.56</f>
        <v>2.4399999999999977</v>
      </c>
      <c r="X156" s="614" t="s">
        <v>719</v>
      </c>
    </row>
    <row r="157" spans="1:25" ht="20.100000000000001" customHeight="1" x14ac:dyDescent="0.2">
      <c r="A157" s="621" t="s">
        <v>721</v>
      </c>
      <c r="B157" s="24" t="s">
        <v>722</v>
      </c>
      <c r="C157" s="25" t="s">
        <v>68</v>
      </c>
      <c r="D157" s="674" t="s">
        <v>723</v>
      </c>
      <c r="E157" s="608"/>
      <c r="F157" s="33"/>
      <c r="G157" s="69"/>
      <c r="H157" s="33"/>
      <c r="I157" s="37"/>
      <c r="J157" s="37"/>
      <c r="K157" s="37"/>
      <c r="L157" s="37"/>
      <c r="M157" s="69"/>
      <c r="N157" s="69"/>
      <c r="O157" s="46">
        <v>7.2629999999999999</v>
      </c>
      <c r="P157" s="29" t="s">
        <v>724</v>
      </c>
      <c r="Q157" s="30"/>
      <c r="R157" s="30"/>
      <c r="S157" s="30"/>
      <c r="T157" s="30"/>
      <c r="U157" s="30"/>
      <c r="V157" s="30"/>
      <c r="W157" s="30"/>
      <c r="X157" s="614"/>
      <c r="Y157" s="11"/>
    </row>
    <row r="158" spans="1:25" ht="21" x14ac:dyDescent="0.2">
      <c r="A158" s="621" t="s">
        <v>725</v>
      </c>
      <c r="B158" s="24" t="s">
        <v>726</v>
      </c>
      <c r="C158" s="25" t="s">
        <v>68</v>
      </c>
      <c r="D158" s="674" t="s">
        <v>727</v>
      </c>
      <c r="E158" s="608"/>
      <c r="F158" s="33"/>
      <c r="G158" s="69"/>
      <c r="H158" s="33"/>
      <c r="I158" s="37"/>
      <c r="J158" s="37"/>
      <c r="K158" s="37"/>
      <c r="L158" s="37"/>
      <c r="M158" s="69"/>
      <c r="N158" s="69"/>
      <c r="O158" s="46">
        <v>9.3269999999999982</v>
      </c>
      <c r="P158" s="29" t="s">
        <v>728</v>
      </c>
      <c r="Q158" s="30"/>
      <c r="R158" s="30"/>
      <c r="S158" s="30"/>
      <c r="T158" s="30"/>
      <c r="U158" s="30"/>
      <c r="V158" s="30"/>
      <c r="W158" s="30"/>
      <c r="X158" s="614"/>
      <c r="Y158" s="11"/>
    </row>
    <row r="159" spans="1:25" ht="39.75" customHeight="1" x14ac:dyDescent="0.2">
      <c r="A159" s="621" t="s">
        <v>729</v>
      </c>
      <c r="B159" s="24" t="s">
        <v>730</v>
      </c>
      <c r="C159" s="25" t="s">
        <v>731</v>
      </c>
      <c r="D159" s="674" t="s">
        <v>732</v>
      </c>
      <c r="E159" s="609">
        <v>2.1010000000000018</v>
      </c>
      <c r="F159" s="98" t="s">
        <v>734</v>
      </c>
      <c r="G159" s="79"/>
      <c r="H159" s="76"/>
      <c r="I159" s="78"/>
      <c r="J159" s="78"/>
      <c r="K159" s="78"/>
      <c r="L159" s="78"/>
      <c r="M159" s="79"/>
      <c r="N159" s="79"/>
      <c r="O159" s="46">
        <v>23.15</v>
      </c>
      <c r="P159" s="40" t="s">
        <v>733</v>
      </c>
      <c r="Q159" s="30">
        <v>2.1</v>
      </c>
      <c r="R159" s="30" t="s">
        <v>1657</v>
      </c>
      <c r="S159" s="31">
        <v>5</v>
      </c>
      <c r="T159" s="31">
        <v>0</v>
      </c>
      <c r="U159" s="31">
        <v>3</v>
      </c>
      <c r="V159" s="31">
        <v>0</v>
      </c>
      <c r="W159" s="30"/>
      <c r="X159" s="614"/>
      <c r="Y159" s="11"/>
    </row>
    <row r="160" spans="1:25" ht="20.100000000000001" customHeight="1" x14ac:dyDescent="0.2">
      <c r="A160" s="621" t="s">
        <v>735</v>
      </c>
      <c r="B160" s="24" t="s">
        <v>736</v>
      </c>
      <c r="C160" s="25" t="s">
        <v>731</v>
      </c>
      <c r="D160" s="674" t="s">
        <v>737</v>
      </c>
      <c r="E160" s="101">
        <v>5.6070000000000002</v>
      </c>
      <c r="F160" s="59" t="s">
        <v>738</v>
      </c>
      <c r="G160" s="334"/>
      <c r="H160" s="98"/>
      <c r="I160" s="335"/>
      <c r="J160" s="335"/>
      <c r="K160" s="335"/>
      <c r="L160" s="335"/>
      <c r="M160" s="334">
        <f>5.933-0.326</f>
        <v>5.6070000000000002</v>
      </c>
      <c r="N160" s="59" t="s">
        <v>738</v>
      </c>
      <c r="O160" s="80"/>
      <c r="P160" s="27"/>
      <c r="Q160" s="91"/>
      <c r="R160" s="91"/>
      <c r="S160" s="92"/>
      <c r="T160" s="92"/>
      <c r="U160" s="92"/>
      <c r="V160" s="92"/>
      <c r="W160" s="91"/>
      <c r="X160" s="631"/>
      <c r="Y160" s="11"/>
    </row>
    <row r="161" spans="1:25" ht="60.75" customHeight="1" x14ac:dyDescent="0.2">
      <c r="A161" s="621" t="s">
        <v>739</v>
      </c>
      <c r="B161" s="24" t="s">
        <v>740</v>
      </c>
      <c r="C161" s="25" t="s">
        <v>731</v>
      </c>
      <c r="D161" s="674" t="s">
        <v>741</v>
      </c>
      <c r="E161" s="611">
        <v>55.341000000000001</v>
      </c>
      <c r="F161" s="76" t="s">
        <v>743</v>
      </c>
      <c r="G161" s="79">
        <f>3.9+6.3+9.5</f>
        <v>19.7</v>
      </c>
      <c r="H161" s="79" t="s">
        <v>1658</v>
      </c>
      <c r="I161" s="78">
        <v>51</v>
      </c>
      <c r="J161" s="78">
        <v>0</v>
      </c>
      <c r="K161" s="78">
        <v>23</v>
      </c>
      <c r="L161" s="78">
        <v>0</v>
      </c>
      <c r="M161" s="79">
        <v>3.2</v>
      </c>
      <c r="N161" s="79" t="s">
        <v>1659</v>
      </c>
      <c r="O161" s="46">
        <v>5.47</v>
      </c>
      <c r="P161" s="29" t="s">
        <v>742</v>
      </c>
      <c r="Q161" s="28">
        <v>1.5</v>
      </c>
      <c r="R161" s="28" t="s">
        <v>1790</v>
      </c>
      <c r="S161" s="48">
        <v>3</v>
      </c>
      <c r="T161" s="48">
        <v>0</v>
      </c>
      <c r="U161" s="48">
        <v>2</v>
      </c>
      <c r="V161" s="48">
        <v>0</v>
      </c>
      <c r="W161" s="28"/>
      <c r="X161" s="618"/>
      <c r="Y161" s="11"/>
    </row>
    <row r="162" spans="1:25" ht="20.100000000000001" customHeight="1" x14ac:dyDescent="0.2">
      <c r="A162" s="621" t="s">
        <v>745</v>
      </c>
      <c r="B162" s="24" t="s">
        <v>746</v>
      </c>
      <c r="C162" s="25" t="s">
        <v>731</v>
      </c>
      <c r="D162" s="674" t="s">
        <v>747</v>
      </c>
      <c r="E162" s="611">
        <v>20.628</v>
      </c>
      <c r="F162" s="59" t="s">
        <v>748</v>
      </c>
      <c r="G162" s="61">
        <v>17.8</v>
      </c>
      <c r="H162" s="98" t="s">
        <v>1661</v>
      </c>
      <c r="I162" s="60">
        <v>41</v>
      </c>
      <c r="J162" s="60">
        <v>0</v>
      </c>
      <c r="K162" s="60">
        <v>39</v>
      </c>
      <c r="L162" s="60">
        <v>0</v>
      </c>
      <c r="M162" s="61">
        <f>1.8-0.313+20.941-19.6</f>
        <v>2.8279999999999959</v>
      </c>
      <c r="N162" s="98" t="s">
        <v>749</v>
      </c>
      <c r="O162" s="80"/>
      <c r="P162" s="27"/>
      <c r="Q162" s="49"/>
      <c r="R162" s="49"/>
      <c r="S162" s="50"/>
      <c r="T162" s="50"/>
      <c r="U162" s="50"/>
      <c r="V162" s="50"/>
      <c r="W162" s="49"/>
      <c r="X162" s="632"/>
      <c r="Y162" s="11"/>
    </row>
    <row r="163" spans="1:25" ht="39.75" customHeight="1" x14ac:dyDescent="0.2">
      <c r="A163" s="621" t="s">
        <v>750</v>
      </c>
      <c r="B163" s="24" t="s">
        <v>751</v>
      </c>
      <c r="C163" s="25" t="s">
        <v>731</v>
      </c>
      <c r="D163" s="674" t="s">
        <v>752</v>
      </c>
      <c r="E163" s="608"/>
      <c r="F163" s="33"/>
      <c r="G163" s="69"/>
      <c r="H163" s="33"/>
      <c r="I163" s="37"/>
      <c r="J163" s="37"/>
      <c r="K163" s="37"/>
      <c r="L163" s="37"/>
      <c r="M163" s="69"/>
      <c r="N163" s="69"/>
      <c r="O163" s="30">
        <v>33.161000000000001</v>
      </c>
      <c r="P163" s="28" t="s">
        <v>753</v>
      </c>
      <c r="Q163" s="46">
        <v>18</v>
      </c>
      <c r="R163" s="30" t="s">
        <v>1791</v>
      </c>
      <c r="S163" s="31">
        <v>16</v>
      </c>
      <c r="T163" s="31">
        <v>0</v>
      </c>
      <c r="U163" s="31">
        <v>9</v>
      </c>
      <c r="V163" s="31">
        <v>1</v>
      </c>
      <c r="W163" s="30"/>
      <c r="X163" s="614"/>
      <c r="Y163" s="11"/>
    </row>
    <row r="164" spans="1:25" ht="20.100000000000001" customHeight="1" x14ac:dyDescent="0.2">
      <c r="A164" s="621" t="s">
        <v>754</v>
      </c>
      <c r="B164" s="24" t="s">
        <v>755</v>
      </c>
      <c r="C164" s="25" t="s">
        <v>731</v>
      </c>
      <c r="D164" s="674" t="s">
        <v>756</v>
      </c>
      <c r="E164" s="608"/>
      <c r="F164" s="33"/>
      <c r="G164" s="69"/>
      <c r="H164" s="33"/>
      <c r="I164" s="37"/>
      <c r="J164" s="37"/>
      <c r="K164" s="37"/>
      <c r="L164" s="37"/>
      <c r="M164" s="69"/>
      <c r="N164" s="69"/>
      <c r="O164" s="30">
        <v>2.2629999999999981</v>
      </c>
      <c r="P164" s="28" t="s">
        <v>757</v>
      </c>
      <c r="Q164" s="47"/>
      <c r="R164" s="30">
        <v>0</v>
      </c>
      <c r="S164" s="31"/>
      <c r="T164" s="31"/>
      <c r="U164" s="31"/>
      <c r="V164" s="31"/>
      <c r="W164" s="30">
        <f>22.397-20.134</f>
        <v>2.2629999999999981</v>
      </c>
      <c r="X164" s="614" t="s">
        <v>757</v>
      </c>
      <c r="Y164" s="11"/>
    </row>
    <row r="165" spans="1:25" ht="42" x14ac:dyDescent="0.2">
      <c r="A165" s="621" t="s">
        <v>758</v>
      </c>
      <c r="B165" s="24" t="s">
        <v>759</v>
      </c>
      <c r="C165" s="25" t="s">
        <v>731</v>
      </c>
      <c r="D165" s="674" t="s">
        <v>760</v>
      </c>
      <c r="E165" s="611">
        <v>22.021999999999998</v>
      </c>
      <c r="F165" s="76" t="s">
        <v>1664</v>
      </c>
      <c r="G165" s="61">
        <v>7.5</v>
      </c>
      <c r="H165" s="61" t="s">
        <v>1665</v>
      </c>
      <c r="I165" s="60">
        <v>13</v>
      </c>
      <c r="J165" s="60">
        <v>0</v>
      </c>
      <c r="K165" s="60">
        <v>13</v>
      </c>
      <c r="L165" s="60">
        <v>0</v>
      </c>
      <c r="M165" s="79">
        <v>1</v>
      </c>
      <c r="N165" s="61" t="s">
        <v>1666</v>
      </c>
      <c r="O165" s="46">
        <v>36.554000000000002</v>
      </c>
      <c r="P165" s="40" t="s">
        <v>1662</v>
      </c>
      <c r="Q165" s="486">
        <v>32.4</v>
      </c>
      <c r="R165" s="57" t="s">
        <v>1663</v>
      </c>
      <c r="S165" s="58">
        <v>44</v>
      </c>
      <c r="T165" s="58">
        <v>0</v>
      </c>
      <c r="U165" s="58">
        <v>43</v>
      </c>
      <c r="V165" s="58">
        <v>7</v>
      </c>
      <c r="W165" s="57"/>
      <c r="X165" s="619"/>
      <c r="Y165" s="11"/>
    </row>
    <row r="166" spans="1:25" ht="24" customHeight="1" x14ac:dyDescent="0.2">
      <c r="A166" s="621" t="s">
        <v>763</v>
      </c>
      <c r="B166" s="24" t="s">
        <v>764</v>
      </c>
      <c r="C166" s="25" t="s">
        <v>731</v>
      </c>
      <c r="D166" s="674" t="s">
        <v>765</v>
      </c>
      <c r="E166" s="609">
        <v>2.5709999999999997</v>
      </c>
      <c r="F166" s="98" t="s">
        <v>768</v>
      </c>
      <c r="G166" s="61">
        <v>1.2</v>
      </c>
      <c r="H166" s="98" t="s">
        <v>1668</v>
      </c>
      <c r="I166" s="60">
        <v>3</v>
      </c>
      <c r="J166" s="60">
        <v>0</v>
      </c>
      <c r="K166" s="60">
        <v>3</v>
      </c>
      <c r="L166" s="60">
        <v>0</v>
      </c>
      <c r="M166" s="61"/>
      <c r="N166" s="61"/>
      <c r="O166" s="46">
        <v>6.5369999999999999</v>
      </c>
      <c r="P166" s="40" t="s">
        <v>766</v>
      </c>
      <c r="Q166" s="57">
        <v>6.5369999999999999</v>
      </c>
      <c r="R166" s="30" t="s">
        <v>767</v>
      </c>
      <c r="S166" s="31">
        <v>18</v>
      </c>
      <c r="T166" s="31">
        <v>0</v>
      </c>
      <c r="U166" s="31">
        <v>18</v>
      </c>
      <c r="V166" s="31">
        <v>0</v>
      </c>
      <c r="W166" s="30">
        <v>0</v>
      </c>
      <c r="X166" s="614">
        <v>0</v>
      </c>
      <c r="Y166" s="11"/>
    </row>
    <row r="167" spans="1:25" ht="20.100000000000001" customHeight="1" x14ac:dyDescent="0.2">
      <c r="A167" s="621" t="s">
        <v>769</v>
      </c>
      <c r="B167" s="24" t="s">
        <v>770</v>
      </c>
      <c r="C167" s="100" t="s">
        <v>627</v>
      </c>
      <c r="D167" s="674" t="s">
        <v>771</v>
      </c>
      <c r="E167" s="608"/>
      <c r="F167" s="33"/>
      <c r="G167" s="69"/>
      <c r="H167" s="33"/>
      <c r="I167" s="37"/>
      <c r="J167" s="37"/>
      <c r="K167" s="37"/>
      <c r="L167" s="37"/>
      <c r="M167" s="69"/>
      <c r="N167" s="69"/>
      <c r="O167" s="30">
        <v>22.779</v>
      </c>
      <c r="P167" s="29" t="s">
        <v>772</v>
      </c>
      <c r="Q167" s="94">
        <v>2.2999999999999998</v>
      </c>
      <c r="R167" s="30" t="s">
        <v>773</v>
      </c>
      <c r="S167" s="30"/>
      <c r="T167" s="30"/>
      <c r="U167" s="30"/>
      <c r="V167" s="30"/>
      <c r="W167" s="30">
        <v>11</v>
      </c>
      <c r="X167" s="614" t="s">
        <v>774</v>
      </c>
      <c r="Y167" s="11"/>
    </row>
    <row r="168" spans="1:25" ht="42" x14ac:dyDescent="0.2">
      <c r="A168" s="621" t="s">
        <v>775</v>
      </c>
      <c r="B168" s="498" t="s">
        <v>778</v>
      </c>
      <c r="C168" s="25" t="s">
        <v>627</v>
      </c>
      <c r="D168" s="674" t="s">
        <v>776</v>
      </c>
      <c r="E168" s="611">
        <v>10.8</v>
      </c>
      <c r="F168" s="76" t="s">
        <v>779</v>
      </c>
      <c r="G168" s="79"/>
      <c r="H168" s="76"/>
      <c r="I168" s="78"/>
      <c r="J168" s="78"/>
      <c r="K168" s="78"/>
      <c r="L168" s="78"/>
      <c r="M168" s="79">
        <v>10.8</v>
      </c>
      <c r="N168" s="79" t="s">
        <v>779</v>
      </c>
      <c r="O168" s="46">
        <v>102.14700000000001</v>
      </c>
      <c r="P168" s="29" t="s">
        <v>778</v>
      </c>
      <c r="Q168" s="94"/>
      <c r="R168" s="30"/>
      <c r="S168" s="30"/>
      <c r="T168" s="30"/>
      <c r="U168" s="30"/>
      <c r="V168" s="30"/>
      <c r="W168" s="30">
        <v>56.5</v>
      </c>
      <c r="X168" s="614" t="s">
        <v>1759</v>
      </c>
      <c r="Y168" s="11"/>
    </row>
    <row r="169" spans="1:25" ht="20.100000000000001" customHeight="1" x14ac:dyDescent="0.2">
      <c r="A169" s="621" t="s">
        <v>781</v>
      </c>
      <c r="B169" s="24" t="s">
        <v>782</v>
      </c>
      <c r="C169" s="25" t="s">
        <v>68</v>
      </c>
      <c r="D169" s="674" t="s">
        <v>783</v>
      </c>
      <c r="E169" s="608"/>
      <c r="F169" s="33"/>
      <c r="G169" s="69"/>
      <c r="H169" s="33"/>
      <c r="I169" s="37"/>
      <c r="J169" s="37"/>
      <c r="K169" s="37"/>
      <c r="L169" s="37"/>
      <c r="M169" s="69"/>
      <c r="N169" s="69"/>
      <c r="O169" s="46">
        <v>3.3529999999999998</v>
      </c>
      <c r="P169" s="29" t="s">
        <v>784</v>
      </c>
      <c r="Q169" s="30">
        <v>2</v>
      </c>
      <c r="R169" s="30" t="s">
        <v>785</v>
      </c>
      <c r="S169" s="30">
        <v>3</v>
      </c>
      <c r="T169" s="30">
        <v>0</v>
      </c>
      <c r="U169" s="30">
        <v>0</v>
      </c>
      <c r="V169" s="30">
        <v>0</v>
      </c>
      <c r="W169" s="30"/>
      <c r="X169" s="614"/>
      <c r="Y169" s="11"/>
    </row>
    <row r="170" spans="1:25" ht="20.100000000000001" customHeight="1" x14ac:dyDescent="0.2">
      <c r="A170" s="621" t="s">
        <v>786</v>
      </c>
      <c r="B170" s="24" t="s">
        <v>787</v>
      </c>
      <c r="C170" s="25" t="s">
        <v>627</v>
      </c>
      <c r="D170" s="674" t="s">
        <v>788</v>
      </c>
      <c r="E170" s="608"/>
      <c r="F170" s="33"/>
      <c r="G170" s="69"/>
      <c r="H170" s="33"/>
      <c r="I170" s="37"/>
      <c r="J170" s="37"/>
      <c r="K170" s="37"/>
      <c r="L170" s="37"/>
      <c r="M170" s="69"/>
      <c r="N170" s="69"/>
      <c r="O170" s="30">
        <v>2.7550000000000003</v>
      </c>
      <c r="P170" s="29" t="s">
        <v>789</v>
      </c>
      <c r="Q170" s="94"/>
      <c r="R170" s="30"/>
      <c r="S170" s="30"/>
      <c r="T170" s="30"/>
      <c r="U170" s="30"/>
      <c r="V170" s="30"/>
      <c r="W170" s="30">
        <v>1.4</v>
      </c>
      <c r="X170" s="614" t="s">
        <v>789</v>
      </c>
      <c r="Y170" s="11"/>
    </row>
    <row r="171" spans="1:25" ht="20.100000000000001" customHeight="1" x14ac:dyDescent="0.2">
      <c r="A171" s="621" t="s">
        <v>790</v>
      </c>
      <c r="B171" s="24" t="s">
        <v>1794</v>
      </c>
      <c r="C171" s="25" t="s">
        <v>627</v>
      </c>
      <c r="D171" s="674" t="s">
        <v>791</v>
      </c>
      <c r="E171" s="608"/>
      <c r="F171" s="33"/>
      <c r="G171" s="69"/>
      <c r="H171" s="33"/>
      <c r="I171" s="37"/>
      <c r="J171" s="37"/>
      <c r="K171" s="37"/>
      <c r="L171" s="37"/>
      <c r="M171" s="69"/>
      <c r="N171" s="69"/>
      <c r="O171" s="30">
        <v>15.154999999999999</v>
      </c>
      <c r="P171" s="29" t="s">
        <v>792</v>
      </c>
      <c r="Q171" s="94"/>
      <c r="R171" s="30"/>
      <c r="S171" s="30"/>
      <c r="T171" s="30"/>
      <c r="U171" s="30"/>
      <c r="V171" s="30"/>
      <c r="W171" s="30">
        <v>7.6</v>
      </c>
      <c r="X171" s="614" t="s">
        <v>793</v>
      </c>
      <c r="Y171" s="11"/>
    </row>
    <row r="172" spans="1:25" ht="20.100000000000001" customHeight="1" x14ac:dyDescent="0.2">
      <c r="A172" s="621" t="s">
        <v>794</v>
      </c>
      <c r="B172" s="24" t="s">
        <v>1795</v>
      </c>
      <c r="C172" s="25" t="s">
        <v>627</v>
      </c>
      <c r="D172" s="674" t="s">
        <v>795</v>
      </c>
      <c r="E172" s="608"/>
      <c r="F172" s="33"/>
      <c r="G172" s="69"/>
      <c r="H172" s="33"/>
      <c r="I172" s="37"/>
      <c r="J172" s="37"/>
      <c r="K172" s="37"/>
      <c r="L172" s="37"/>
      <c r="M172" s="69"/>
      <c r="N172" s="69"/>
      <c r="O172" s="30">
        <v>19.228999999999999</v>
      </c>
      <c r="P172" s="29" t="s">
        <v>796</v>
      </c>
      <c r="Q172" s="94"/>
      <c r="R172" s="30"/>
      <c r="S172" s="30"/>
      <c r="T172" s="30"/>
      <c r="U172" s="30"/>
      <c r="V172" s="30"/>
      <c r="W172" s="30">
        <v>9.6</v>
      </c>
      <c r="X172" s="614" t="s">
        <v>797</v>
      </c>
      <c r="Y172" s="11"/>
    </row>
    <row r="173" spans="1:25" ht="20.100000000000001" customHeight="1" x14ac:dyDescent="0.2">
      <c r="A173" s="621" t="s">
        <v>798</v>
      </c>
      <c r="B173" s="24" t="s">
        <v>799</v>
      </c>
      <c r="C173" s="25" t="s">
        <v>800</v>
      </c>
      <c r="D173" s="674" t="s">
        <v>801</v>
      </c>
      <c r="E173" s="609">
        <v>13.166</v>
      </c>
      <c r="F173" s="102" t="s">
        <v>803</v>
      </c>
      <c r="G173" s="104">
        <v>0</v>
      </c>
      <c r="H173" s="102">
        <v>0</v>
      </c>
      <c r="I173" s="103">
        <v>0</v>
      </c>
      <c r="J173" s="103">
        <v>0</v>
      </c>
      <c r="K173" s="103">
        <v>0</v>
      </c>
      <c r="L173" s="103">
        <v>0</v>
      </c>
      <c r="M173" s="104">
        <v>10.1</v>
      </c>
      <c r="N173" s="102" t="s">
        <v>1727</v>
      </c>
      <c r="O173" s="30">
        <v>10.345000000000001</v>
      </c>
      <c r="P173" s="29" t="s">
        <v>802</v>
      </c>
      <c r="Q173" s="29"/>
      <c r="R173" s="29"/>
      <c r="S173" s="68"/>
      <c r="T173" s="68"/>
      <c r="U173" s="68"/>
      <c r="V173" s="68"/>
      <c r="W173" s="29">
        <v>5.15</v>
      </c>
      <c r="X173" s="630" t="s">
        <v>802</v>
      </c>
      <c r="Y173" s="11"/>
    </row>
    <row r="174" spans="1:25" ht="20.100000000000001" customHeight="1" x14ac:dyDescent="0.2">
      <c r="A174" s="621" t="s">
        <v>805</v>
      </c>
      <c r="B174" s="24" t="s">
        <v>806</v>
      </c>
      <c r="C174" s="25" t="s">
        <v>627</v>
      </c>
      <c r="D174" s="674" t="s">
        <v>807</v>
      </c>
      <c r="E174" s="608"/>
      <c r="F174" s="33"/>
      <c r="G174" s="69"/>
      <c r="H174" s="33"/>
      <c r="I174" s="37"/>
      <c r="J174" s="37"/>
      <c r="K174" s="37"/>
      <c r="L174" s="37"/>
      <c r="M174" s="69"/>
      <c r="N174" s="69"/>
      <c r="O174" s="30">
        <v>16.425000000000001</v>
      </c>
      <c r="P174" s="29" t="s">
        <v>808</v>
      </c>
      <c r="Q174" s="94"/>
      <c r="R174" s="30"/>
      <c r="S174" s="31"/>
      <c r="T174" s="31"/>
      <c r="U174" s="31"/>
      <c r="V174" s="31"/>
      <c r="W174" s="94">
        <v>8.1999999999999993</v>
      </c>
      <c r="X174" s="614" t="s">
        <v>808</v>
      </c>
      <c r="Y174" s="11"/>
    </row>
    <row r="175" spans="1:25" ht="20.100000000000001" customHeight="1" x14ac:dyDescent="0.2">
      <c r="A175" s="621" t="s">
        <v>809</v>
      </c>
      <c r="B175" s="24" t="s">
        <v>810</v>
      </c>
      <c r="C175" s="25" t="s">
        <v>811</v>
      </c>
      <c r="D175" s="674" t="s">
        <v>812</v>
      </c>
      <c r="E175" s="609">
        <v>9.5549999999999997</v>
      </c>
      <c r="F175" s="102" t="s">
        <v>813</v>
      </c>
      <c r="G175" s="104">
        <v>0</v>
      </c>
      <c r="H175" s="102">
        <v>0</v>
      </c>
      <c r="I175" s="103">
        <v>0</v>
      </c>
      <c r="J175" s="103">
        <v>0</v>
      </c>
      <c r="K175" s="103">
        <v>0</v>
      </c>
      <c r="L175" s="103">
        <v>0</v>
      </c>
      <c r="M175" s="104">
        <v>0</v>
      </c>
      <c r="N175" s="104"/>
      <c r="O175" s="80"/>
      <c r="P175" s="210"/>
      <c r="Q175" s="210"/>
      <c r="R175" s="210"/>
      <c r="S175" s="259"/>
      <c r="T175" s="259"/>
      <c r="U175" s="259"/>
      <c r="V175" s="259"/>
      <c r="W175" s="210"/>
      <c r="X175" s="626"/>
      <c r="Y175" s="11"/>
    </row>
    <row r="176" spans="1:25" ht="20.100000000000001" customHeight="1" x14ac:dyDescent="0.2">
      <c r="A176" s="621" t="s">
        <v>814</v>
      </c>
      <c r="B176" s="24" t="s">
        <v>815</v>
      </c>
      <c r="C176" s="25" t="s">
        <v>811</v>
      </c>
      <c r="D176" s="674" t="s">
        <v>816</v>
      </c>
      <c r="E176" s="608"/>
      <c r="F176" s="33"/>
      <c r="G176" s="69"/>
      <c r="H176" s="33"/>
      <c r="I176" s="37"/>
      <c r="J176" s="37"/>
      <c r="K176" s="37"/>
      <c r="L176" s="37"/>
      <c r="M176" s="69"/>
      <c r="N176" s="69"/>
      <c r="O176" s="46">
        <v>14.165000000000006</v>
      </c>
      <c r="P176" s="29" t="s">
        <v>817</v>
      </c>
      <c r="Q176" s="30"/>
      <c r="R176" s="30"/>
      <c r="S176" s="31"/>
      <c r="T176" s="31"/>
      <c r="U176" s="31"/>
      <c r="V176" s="489"/>
      <c r="W176" s="28">
        <v>7</v>
      </c>
      <c r="X176" s="630" t="s">
        <v>817</v>
      </c>
      <c r="Y176" s="11"/>
    </row>
    <row r="177" spans="1:25" ht="20.100000000000001" customHeight="1" x14ac:dyDescent="0.2">
      <c r="A177" s="621" t="s">
        <v>818</v>
      </c>
      <c r="B177" s="24" t="s">
        <v>819</v>
      </c>
      <c r="C177" s="25" t="s">
        <v>811</v>
      </c>
      <c r="D177" s="674" t="s">
        <v>820</v>
      </c>
      <c r="E177" s="608"/>
      <c r="F177" s="33"/>
      <c r="G177" s="69"/>
      <c r="H177" s="33"/>
      <c r="I177" s="37"/>
      <c r="J177" s="37"/>
      <c r="K177" s="37"/>
      <c r="L177" s="37"/>
      <c r="M177" s="69"/>
      <c r="N177" s="69"/>
      <c r="O177" s="46">
        <v>70.332999999999998</v>
      </c>
      <c r="P177" s="105" t="s">
        <v>819</v>
      </c>
      <c r="Q177" s="106"/>
      <c r="R177" s="106"/>
      <c r="S177" s="107"/>
      <c r="T177" s="107"/>
      <c r="U177" s="107"/>
      <c r="V177" s="544"/>
      <c r="W177" s="105">
        <v>35</v>
      </c>
      <c r="X177" s="633" t="s">
        <v>819</v>
      </c>
      <c r="Y177" s="11"/>
    </row>
    <row r="178" spans="1:25" ht="20.100000000000001" customHeight="1" x14ac:dyDescent="0.2">
      <c r="A178" s="621" t="s">
        <v>822</v>
      </c>
      <c r="B178" s="24" t="s">
        <v>823</v>
      </c>
      <c r="C178" s="25" t="s">
        <v>811</v>
      </c>
      <c r="D178" s="674" t="s">
        <v>824</v>
      </c>
      <c r="E178" s="611">
        <v>16.5</v>
      </c>
      <c r="F178" s="76" t="s">
        <v>826</v>
      </c>
      <c r="G178" s="79">
        <v>17</v>
      </c>
      <c r="H178" s="76" t="s">
        <v>1728</v>
      </c>
      <c r="I178" s="78">
        <v>24</v>
      </c>
      <c r="J178" s="78">
        <v>4</v>
      </c>
      <c r="K178" s="78">
        <v>16</v>
      </c>
      <c r="L178" s="78">
        <v>0</v>
      </c>
      <c r="M178" s="104">
        <v>0</v>
      </c>
      <c r="N178" s="61"/>
      <c r="O178" s="46">
        <v>34.613999999999997</v>
      </c>
      <c r="P178" s="29" t="s">
        <v>825</v>
      </c>
      <c r="Q178" s="30"/>
      <c r="R178" s="30"/>
      <c r="S178" s="31"/>
      <c r="T178" s="31"/>
      <c r="U178" s="31"/>
      <c r="V178" s="489"/>
      <c r="W178" s="28">
        <v>17</v>
      </c>
      <c r="X178" s="630" t="s">
        <v>825</v>
      </c>
      <c r="Y178" s="11"/>
    </row>
    <row r="179" spans="1:25" ht="20.100000000000001" customHeight="1" x14ac:dyDescent="0.2">
      <c r="A179" s="621" t="s">
        <v>827</v>
      </c>
      <c r="B179" s="24" t="s">
        <v>828</v>
      </c>
      <c r="C179" s="25" t="s">
        <v>811</v>
      </c>
      <c r="D179" s="674" t="s">
        <v>829</v>
      </c>
      <c r="E179" s="663"/>
      <c r="F179" s="82"/>
      <c r="G179" s="51"/>
      <c r="H179" s="82"/>
      <c r="I179" s="50"/>
      <c r="J179" s="50"/>
      <c r="K179" s="50"/>
      <c r="L179" s="50"/>
      <c r="M179" s="51"/>
      <c r="N179" s="51"/>
      <c r="O179" s="46">
        <v>0.63200000000000001</v>
      </c>
      <c r="P179" s="29" t="s">
        <v>830</v>
      </c>
      <c r="Q179" s="30"/>
      <c r="R179" s="30"/>
      <c r="S179" s="31"/>
      <c r="T179" s="31"/>
      <c r="U179" s="31"/>
      <c r="V179" s="489"/>
      <c r="W179" s="28">
        <v>0.63200000000000001</v>
      </c>
      <c r="X179" s="630" t="s">
        <v>830</v>
      </c>
      <c r="Y179" s="11"/>
    </row>
    <row r="180" spans="1:25" ht="20.100000000000001" customHeight="1" x14ac:dyDescent="0.2">
      <c r="A180" s="621" t="s">
        <v>831</v>
      </c>
      <c r="B180" s="24" t="s">
        <v>832</v>
      </c>
      <c r="C180" s="25" t="s">
        <v>811</v>
      </c>
      <c r="D180" s="674" t="s">
        <v>833</v>
      </c>
      <c r="E180" s="609">
        <v>25.431999999999999</v>
      </c>
      <c r="F180" s="102" t="s">
        <v>834</v>
      </c>
      <c r="G180" s="104">
        <v>0</v>
      </c>
      <c r="H180" s="102">
        <v>0</v>
      </c>
      <c r="I180" s="103"/>
      <c r="J180" s="103"/>
      <c r="K180" s="103"/>
      <c r="L180" s="103"/>
      <c r="M180" s="104">
        <v>17.600000000000001</v>
      </c>
      <c r="N180" s="102" t="s">
        <v>1729</v>
      </c>
      <c r="O180" s="80"/>
      <c r="P180" s="36"/>
      <c r="Q180" s="36"/>
      <c r="R180" s="36"/>
      <c r="S180" s="37"/>
      <c r="T180" s="37"/>
      <c r="U180" s="37"/>
      <c r="V180" s="34"/>
      <c r="W180" s="36"/>
      <c r="X180" s="634"/>
      <c r="Y180" s="11"/>
    </row>
    <row r="181" spans="1:25" ht="20.100000000000001" customHeight="1" x14ac:dyDescent="0.2">
      <c r="A181" s="621" t="s">
        <v>835</v>
      </c>
      <c r="B181" s="24" t="s">
        <v>836</v>
      </c>
      <c r="C181" s="25" t="s">
        <v>811</v>
      </c>
      <c r="D181" s="674" t="s">
        <v>837</v>
      </c>
      <c r="E181" s="609">
        <v>5.1999999999999993</v>
      </c>
      <c r="F181" s="102" t="s">
        <v>838</v>
      </c>
      <c r="G181" s="104"/>
      <c r="H181" s="102">
        <v>0</v>
      </c>
      <c r="I181" s="103"/>
      <c r="J181" s="103"/>
      <c r="K181" s="103"/>
      <c r="L181" s="103"/>
      <c r="M181" s="104">
        <v>0</v>
      </c>
      <c r="N181" s="104"/>
      <c r="O181" s="80"/>
      <c r="P181" s="210"/>
      <c r="Q181" s="210"/>
      <c r="R181" s="210"/>
      <c r="S181" s="259"/>
      <c r="T181" s="259"/>
      <c r="U181" s="259"/>
      <c r="V181" s="259"/>
      <c r="W181" s="548"/>
      <c r="X181" s="626"/>
      <c r="Y181" s="11"/>
    </row>
    <row r="182" spans="1:25" ht="20.100000000000001" customHeight="1" x14ac:dyDescent="0.2">
      <c r="A182" s="621" t="s">
        <v>839</v>
      </c>
      <c r="B182" s="24" t="s">
        <v>840</v>
      </c>
      <c r="C182" s="25" t="s">
        <v>811</v>
      </c>
      <c r="D182" s="674" t="s">
        <v>841</v>
      </c>
      <c r="E182" s="611">
        <v>4.484</v>
      </c>
      <c r="F182" s="76" t="s">
        <v>842</v>
      </c>
      <c r="G182" s="79">
        <v>5</v>
      </c>
      <c r="H182" s="102" t="s">
        <v>1731</v>
      </c>
      <c r="I182" s="60">
        <v>22</v>
      </c>
      <c r="J182" s="60">
        <v>0</v>
      </c>
      <c r="K182" s="60">
        <v>15</v>
      </c>
      <c r="L182" s="60">
        <v>0</v>
      </c>
      <c r="M182" s="104">
        <v>0</v>
      </c>
      <c r="N182" s="102">
        <v>0</v>
      </c>
      <c r="O182" s="80"/>
      <c r="P182" s="27"/>
      <c r="Q182" s="80"/>
      <c r="R182" s="80"/>
      <c r="S182" s="81"/>
      <c r="T182" s="81"/>
      <c r="U182" s="81"/>
      <c r="V182" s="552"/>
      <c r="W182" s="27"/>
      <c r="X182" s="627"/>
      <c r="Y182" s="11"/>
    </row>
    <row r="183" spans="1:25" ht="20.100000000000001" customHeight="1" x14ac:dyDescent="0.2">
      <c r="A183" s="621" t="s">
        <v>843</v>
      </c>
      <c r="B183" s="24" t="s">
        <v>844</v>
      </c>
      <c r="C183" s="25" t="s">
        <v>811</v>
      </c>
      <c r="D183" s="674" t="s">
        <v>845</v>
      </c>
      <c r="E183" s="611">
        <v>5.1219999999999999</v>
      </c>
      <c r="F183" s="76" t="s">
        <v>1654</v>
      </c>
      <c r="G183" s="104">
        <v>0</v>
      </c>
      <c r="H183" s="102">
        <v>0</v>
      </c>
      <c r="I183" s="103">
        <v>0</v>
      </c>
      <c r="J183" s="103">
        <v>0</v>
      </c>
      <c r="K183" s="103">
        <v>0</v>
      </c>
      <c r="L183" s="103">
        <v>0</v>
      </c>
      <c r="M183" s="79">
        <v>0</v>
      </c>
      <c r="N183" s="102">
        <v>0</v>
      </c>
      <c r="O183" s="30">
        <v>3.6110000000000002</v>
      </c>
      <c r="P183" s="28" t="s">
        <v>1818</v>
      </c>
      <c r="Q183" s="46"/>
      <c r="R183" s="46"/>
      <c r="S183" s="47"/>
      <c r="T183" s="47"/>
      <c r="U183" s="47"/>
      <c r="V183" s="553"/>
      <c r="W183" s="29">
        <v>3.6110000000000002</v>
      </c>
      <c r="X183" s="618" t="s">
        <v>1818</v>
      </c>
      <c r="Y183" s="11"/>
    </row>
    <row r="184" spans="1:25" ht="28.35" customHeight="1" x14ac:dyDescent="0.2">
      <c r="A184" s="621" t="s">
        <v>846</v>
      </c>
      <c r="B184" s="24" t="s">
        <v>847</v>
      </c>
      <c r="C184" s="25" t="s">
        <v>848</v>
      </c>
      <c r="D184" s="676" t="s">
        <v>849</v>
      </c>
      <c r="E184" s="101">
        <v>20.254000000000001</v>
      </c>
      <c r="F184" s="71" t="s">
        <v>847</v>
      </c>
      <c r="G184" s="79">
        <v>16.5</v>
      </c>
      <c r="H184" s="102" t="s">
        <v>850</v>
      </c>
      <c r="I184" s="78">
        <v>13</v>
      </c>
      <c r="J184" s="78">
        <v>0</v>
      </c>
      <c r="K184" s="78">
        <v>0</v>
      </c>
      <c r="L184" s="78">
        <v>0</v>
      </c>
      <c r="M184" s="102">
        <f>1.6-0.09+20.344-17.7</f>
        <v>4.1540000000000035</v>
      </c>
      <c r="N184" s="102" t="s">
        <v>851</v>
      </c>
      <c r="O184" s="80"/>
      <c r="P184" s="27"/>
      <c r="Q184" s="80"/>
      <c r="R184" s="80"/>
      <c r="S184" s="81"/>
      <c r="T184" s="81"/>
      <c r="U184" s="81"/>
      <c r="V184" s="81"/>
      <c r="W184" s="80"/>
      <c r="X184" s="627"/>
      <c r="Y184" s="11"/>
    </row>
    <row r="185" spans="1:25" ht="20.100000000000001" customHeight="1" x14ac:dyDescent="0.2">
      <c r="A185" s="621" t="s">
        <v>852</v>
      </c>
      <c r="B185" s="24" t="s">
        <v>853</v>
      </c>
      <c r="C185" s="25" t="s">
        <v>627</v>
      </c>
      <c r="D185" s="674" t="s">
        <v>854</v>
      </c>
      <c r="E185" s="608"/>
      <c r="F185" s="33"/>
      <c r="G185" s="69"/>
      <c r="H185" s="33"/>
      <c r="I185" s="37"/>
      <c r="J185" s="37"/>
      <c r="K185" s="37"/>
      <c r="L185" s="37"/>
      <c r="M185" s="69"/>
      <c r="N185" s="69"/>
      <c r="O185" s="30">
        <v>105.49799999999999</v>
      </c>
      <c r="P185" s="29" t="s">
        <v>855</v>
      </c>
      <c r="Q185" s="94">
        <v>78.3</v>
      </c>
      <c r="R185" s="31" t="s">
        <v>856</v>
      </c>
      <c r="S185" s="31">
        <v>37</v>
      </c>
      <c r="T185" s="31"/>
      <c r="U185" s="31">
        <v>35</v>
      </c>
      <c r="V185" s="31">
        <v>86</v>
      </c>
      <c r="W185" s="31">
        <f>50-23.125</f>
        <v>26.875</v>
      </c>
      <c r="X185" s="616" t="s">
        <v>857</v>
      </c>
      <c r="Y185" s="11"/>
    </row>
    <row r="186" spans="1:25" ht="20.100000000000001" customHeight="1" x14ac:dyDescent="0.2">
      <c r="A186" s="621" t="s">
        <v>858</v>
      </c>
      <c r="B186" s="24" t="s">
        <v>859</v>
      </c>
      <c r="C186" s="25" t="s">
        <v>627</v>
      </c>
      <c r="D186" s="674" t="s">
        <v>860</v>
      </c>
      <c r="E186" s="608"/>
      <c r="F186" s="33"/>
      <c r="G186" s="69"/>
      <c r="H186" s="33"/>
      <c r="I186" s="37"/>
      <c r="J186" s="37"/>
      <c r="K186" s="37"/>
      <c r="L186" s="37"/>
      <c r="M186" s="69"/>
      <c r="N186" s="69"/>
      <c r="O186" s="30">
        <v>12.530000000000001</v>
      </c>
      <c r="P186" s="29" t="s">
        <v>861</v>
      </c>
      <c r="Q186" s="94"/>
      <c r="R186" s="31"/>
      <c r="S186" s="31"/>
      <c r="T186" s="31"/>
      <c r="U186" s="31"/>
      <c r="V186" s="31"/>
      <c r="W186" s="31">
        <v>6</v>
      </c>
      <c r="X186" s="616" t="s">
        <v>859</v>
      </c>
      <c r="Y186" s="11"/>
    </row>
    <row r="187" spans="1:25" ht="20.100000000000001" customHeight="1" x14ac:dyDescent="0.2">
      <c r="A187" s="621" t="s">
        <v>862</v>
      </c>
      <c r="B187" s="24" t="s">
        <v>863</v>
      </c>
      <c r="C187" s="25" t="s">
        <v>627</v>
      </c>
      <c r="D187" s="674" t="s">
        <v>864</v>
      </c>
      <c r="E187" s="608"/>
      <c r="F187" s="33"/>
      <c r="G187" s="69"/>
      <c r="H187" s="33"/>
      <c r="I187" s="37"/>
      <c r="J187" s="37"/>
      <c r="K187" s="37"/>
      <c r="L187" s="37"/>
      <c r="M187" s="69"/>
      <c r="N187" s="69"/>
      <c r="O187" s="30">
        <v>12.216999999999999</v>
      </c>
      <c r="P187" s="29" t="s">
        <v>865</v>
      </c>
      <c r="Q187" s="94"/>
      <c r="R187" s="31"/>
      <c r="S187" s="31"/>
      <c r="T187" s="31"/>
      <c r="U187" s="31"/>
      <c r="V187" s="31"/>
      <c r="W187" s="31">
        <v>6</v>
      </c>
      <c r="X187" s="616" t="s">
        <v>863</v>
      </c>
      <c r="Y187" s="11"/>
    </row>
    <row r="188" spans="1:25" ht="20.100000000000001" customHeight="1" x14ac:dyDescent="0.2">
      <c r="A188" s="621" t="s">
        <v>866</v>
      </c>
      <c r="B188" s="24" t="s">
        <v>867</v>
      </c>
      <c r="C188" s="25" t="s">
        <v>627</v>
      </c>
      <c r="D188" s="674" t="s">
        <v>868</v>
      </c>
      <c r="E188" s="608"/>
      <c r="F188" s="33"/>
      <c r="G188" s="69"/>
      <c r="H188" s="33"/>
      <c r="I188" s="37"/>
      <c r="J188" s="37"/>
      <c r="K188" s="37"/>
      <c r="L188" s="37"/>
      <c r="M188" s="69"/>
      <c r="N188" s="69"/>
      <c r="O188" s="30">
        <v>41.088999999999999</v>
      </c>
      <c r="P188" s="29" t="s">
        <v>869</v>
      </c>
      <c r="Q188" s="94"/>
      <c r="R188" s="31"/>
      <c r="S188" s="31"/>
      <c r="T188" s="31"/>
      <c r="U188" s="31"/>
      <c r="V188" s="31"/>
      <c r="W188" s="31">
        <v>21</v>
      </c>
      <c r="X188" s="616" t="s">
        <v>867</v>
      </c>
      <c r="Y188" s="11"/>
    </row>
    <row r="189" spans="1:25" ht="94.5" x14ac:dyDescent="0.2">
      <c r="A189" s="621" t="s">
        <v>870</v>
      </c>
      <c r="B189" s="498" t="s">
        <v>871</v>
      </c>
      <c r="C189" s="100" t="s">
        <v>26</v>
      </c>
      <c r="D189" s="674" t="s">
        <v>872</v>
      </c>
      <c r="E189" s="611">
        <v>33.011000000000003</v>
      </c>
      <c r="F189" s="76" t="s">
        <v>1717</v>
      </c>
      <c r="G189" s="79"/>
      <c r="H189" s="76"/>
      <c r="I189" s="78"/>
      <c r="J189" s="78"/>
      <c r="K189" s="78"/>
      <c r="L189" s="78"/>
      <c r="M189" s="79">
        <v>33.1</v>
      </c>
      <c r="N189" s="76" t="s">
        <v>1717</v>
      </c>
      <c r="O189" s="46">
        <v>25.015999999999998</v>
      </c>
      <c r="P189" s="40" t="s">
        <v>1817</v>
      </c>
      <c r="Q189" s="41"/>
      <c r="R189" s="31"/>
      <c r="S189" s="31"/>
      <c r="T189" s="31"/>
      <c r="U189" s="31"/>
      <c r="V189" s="31"/>
      <c r="W189" s="31">
        <v>30</v>
      </c>
      <c r="X189" s="616"/>
      <c r="Y189" s="11"/>
    </row>
    <row r="190" spans="1:25" ht="20.100000000000001" customHeight="1" x14ac:dyDescent="0.2">
      <c r="A190" s="621" t="s">
        <v>874</v>
      </c>
      <c r="B190" s="24" t="s">
        <v>875</v>
      </c>
      <c r="C190" s="25" t="s">
        <v>627</v>
      </c>
      <c r="D190" s="674" t="s">
        <v>876</v>
      </c>
      <c r="E190" s="608"/>
      <c r="F190" s="33"/>
      <c r="G190" s="69"/>
      <c r="H190" s="33"/>
      <c r="I190" s="37"/>
      <c r="J190" s="37"/>
      <c r="K190" s="37"/>
      <c r="L190" s="37"/>
      <c r="M190" s="69"/>
      <c r="N190" s="69"/>
      <c r="O190" s="30">
        <v>20.135999999999999</v>
      </c>
      <c r="P190" s="29" t="s">
        <v>877</v>
      </c>
      <c r="Q190" s="94"/>
      <c r="R190" s="31"/>
      <c r="S190" s="31"/>
      <c r="T190" s="31"/>
      <c r="U190" s="31"/>
      <c r="V190" s="31"/>
      <c r="W190" s="31">
        <v>11</v>
      </c>
      <c r="X190" s="616" t="s">
        <v>877</v>
      </c>
      <c r="Y190" s="11"/>
    </row>
    <row r="191" spans="1:25" ht="20.100000000000001" customHeight="1" x14ac:dyDescent="0.2">
      <c r="A191" s="621" t="s">
        <v>878</v>
      </c>
      <c r="B191" s="24" t="s">
        <v>879</v>
      </c>
      <c r="C191" s="25" t="s">
        <v>627</v>
      </c>
      <c r="D191" s="674" t="s">
        <v>880</v>
      </c>
      <c r="E191" s="608"/>
      <c r="F191" s="33"/>
      <c r="G191" s="69"/>
      <c r="H191" s="33"/>
      <c r="I191" s="37"/>
      <c r="J191" s="37"/>
      <c r="K191" s="37"/>
      <c r="L191" s="37"/>
      <c r="M191" s="69"/>
      <c r="N191" s="69"/>
      <c r="O191" s="30">
        <v>4.3260000000000005</v>
      </c>
      <c r="P191" s="29" t="s">
        <v>881</v>
      </c>
      <c r="Q191" s="94"/>
      <c r="R191" s="31"/>
      <c r="S191" s="31"/>
      <c r="T191" s="31"/>
      <c r="U191" s="31"/>
      <c r="V191" s="31"/>
      <c r="W191" s="31">
        <v>2</v>
      </c>
      <c r="X191" s="616" t="s">
        <v>881</v>
      </c>
      <c r="Y191" s="11"/>
    </row>
    <row r="192" spans="1:25" ht="20.100000000000001" customHeight="1" x14ac:dyDescent="0.2">
      <c r="A192" s="621" t="s">
        <v>882</v>
      </c>
      <c r="B192" s="24" t="s">
        <v>883</v>
      </c>
      <c r="C192" s="25" t="s">
        <v>627</v>
      </c>
      <c r="D192" s="674" t="s">
        <v>884</v>
      </c>
      <c r="E192" s="608"/>
      <c r="F192" s="33"/>
      <c r="G192" s="69"/>
      <c r="H192" s="33"/>
      <c r="I192" s="37"/>
      <c r="J192" s="37"/>
      <c r="K192" s="37"/>
      <c r="L192" s="37"/>
      <c r="M192" s="69"/>
      <c r="N192" s="69"/>
      <c r="O192" s="30">
        <v>9.7309999999999999</v>
      </c>
      <c r="P192" s="29" t="s">
        <v>885</v>
      </c>
      <c r="Q192" s="94"/>
      <c r="R192" s="31"/>
      <c r="S192" s="31"/>
      <c r="T192" s="31"/>
      <c r="U192" s="31"/>
      <c r="V192" s="31"/>
      <c r="W192" s="31">
        <v>5</v>
      </c>
      <c r="X192" s="616" t="s">
        <v>885</v>
      </c>
      <c r="Y192" s="11"/>
    </row>
    <row r="193" spans="1:25" ht="20.100000000000001" customHeight="1" x14ac:dyDescent="0.2">
      <c r="A193" s="621" t="s">
        <v>886</v>
      </c>
      <c r="B193" s="24" t="s">
        <v>887</v>
      </c>
      <c r="C193" s="25" t="s">
        <v>627</v>
      </c>
      <c r="D193" s="674" t="s">
        <v>888</v>
      </c>
      <c r="E193" s="608"/>
      <c r="F193" s="33"/>
      <c r="G193" s="69"/>
      <c r="H193" s="33"/>
      <c r="I193" s="37"/>
      <c r="J193" s="37"/>
      <c r="K193" s="37"/>
      <c r="L193" s="37"/>
      <c r="M193" s="69"/>
      <c r="N193" s="69"/>
      <c r="O193" s="30">
        <v>31.501000000000001</v>
      </c>
      <c r="P193" s="29" t="s">
        <v>889</v>
      </c>
      <c r="Q193" s="94"/>
      <c r="R193" s="31"/>
      <c r="S193" s="31"/>
      <c r="T193" s="31"/>
      <c r="U193" s="31"/>
      <c r="V193" s="31"/>
      <c r="W193" s="31">
        <v>16</v>
      </c>
      <c r="X193" s="616" t="s">
        <v>889</v>
      </c>
      <c r="Y193" s="11"/>
    </row>
    <row r="194" spans="1:25" ht="20.100000000000001" customHeight="1" x14ac:dyDescent="0.2">
      <c r="A194" s="621" t="s">
        <v>890</v>
      </c>
      <c r="B194" s="24" t="s">
        <v>891</v>
      </c>
      <c r="C194" s="25" t="s">
        <v>627</v>
      </c>
      <c r="D194" s="676" t="s">
        <v>892</v>
      </c>
      <c r="E194" s="101">
        <v>5.0919999999999996</v>
      </c>
      <c r="F194" s="71" t="s">
        <v>893</v>
      </c>
      <c r="G194" s="79">
        <v>5.0919999999999996</v>
      </c>
      <c r="H194" s="71" t="s">
        <v>1779</v>
      </c>
      <c r="I194" s="78">
        <v>38</v>
      </c>
      <c r="J194" s="78">
        <v>0</v>
      </c>
      <c r="K194" s="78">
        <v>11</v>
      </c>
      <c r="L194" s="78">
        <v>0</v>
      </c>
      <c r="M194" s="79">
        <v>0</v>
      </c>
      <c r="N194" s="78">
        <v>0</v>
      </c>
      <c r="O194" s="80"/>
      <c r="P194" s="27"/>
      <c r="Q194" s="95"/>
      <c r="R194" s="80"/>
      <c r="S194" s="81"/>
      <c r="T194" s="81"/>
      <c r="U194" s="81"/>
      <c r="V194" s="81"/>
      <c r="W194" s="95"/>
      <c r="X194" s="627"/>
      <c r="Y194" s="11"/>
    </row>
    <row r="195" spans="1:25" ht="20.100000000000001" customHeight="1" x14ac:dyDescent="0.2">
      <c r="A195" s="621" t="s">
        <v>894</v>
      </c>
      <c r="B195" s="24" t="s">
        <v>895</v>
      </c>
      <c r="C195" s="25" t="s">
        <v>627</v>
      </c>
      <c r="D195" s="674" t="s">
        <v>896</v>
      </c>
      <c r="E195" s="608"/>
      <c r="F195" s="33"/>
      <c r="G195" s="69"/>
      <c r="H195" s="33"/>
      <c r="I195" s="37"/>
      <c r="J195" s="37"/>
      <c r="K195" s="37"/>
      <c r="L195" s="37"/>
      <c r="M195" s="69"/>
      <c r="N195" s="69"/>
      <c r="O195" s="30">
        <v>22.218999999999998</v>
      </c>
      <c r="P195" s="29" t="s">
        <v>897</v>
      </c>
      <c r="Q195" s="94"/>
      <c r="R195" s="94"/>
      <c r="S195" s="94"/>
      <c r="T195" s="94"/>
      <c r="U195" s="94"/>
      <c r="V195" s="94"/>
      <c r="W195" s="94">
        <v>11.1</v>
      </c>
      <c r="X195" s="635" t="s">
        <v>895</v>
      </c>
      <c r="Y195" s="11"/>
    </row>
    <row r="196" spans="1:25" ht="36" customHeight="1" x14ac:dyDescent="0.2">
      <c r="A196" s="621" t="s">
        <v>898</v>
      </c>
      <c r="B196" s="24" t="s">
        <v>899</v>
      </c>
      <c r="C196" s="25" t="s">
        <v>900</v>
      </c>
      <c r="D196" s="674" t="s">
        <v>901</v>
      </c>
      <c r="E196" s="609">
        <v>9.7789999999999964</v>
      </c>
      <c r="F196" s="98" t="s">
        <v>1764</v>
      </c>
      <c r="G196" s="61"/>
      <c r="H196" s="98"/>
      <c r="I196" s="60"/>
      <c r="J196" s="60"/>
      <c r="K196" s="60"/>
      <c r="L196" s="60"/>
      <c r="M196" s="61">
        <v>2.2000000000000002</v>
      </c>
      <c r="N196" s="61" t="s">
        <v>1765</v>
      </c>
      <c r="O196" s="340">
        <v>154.83600000000001</v>
      </c>
      <c r="P196" s="29" t="s">
        <v>903</v>
      </c>
      <c r="Q196" s="94"/>
      <c r="R196" s="30"/>
      <c r="S196" s="31"/>
      <c r="T196" s="31"/>
      <c r="U196" s="31"/>
      <c r="V196" s="31"/>
      <c r="W196" s="94">
        <v>51.9</v>
      </c>
      <c r="X196" s="614" t="s">
        <v>1760</v>
      </c>
      <c r="Y196" s="11"/>
    </row>
    <row r="197" spans="1:25" ht="20.100000000000001" customHeight="1" x14ac:dyDescent="0.2">
      <c r="A197" s="621" t="s">
        <v>905</v>
      </c>
      <c r="B197" s="24" t="s">
        <v>906</v>
      </c>
      <c r="C197" s="25" t="s">
        <v>68</v>
      </c>
      <c r="D197" s="674" t="s">
        <v>907</v>
      </c>
      <c r="E197" s="608"/>
      <c r="F197" s="33"/>
      <c r="G197" s="69"/>
      <c r="H197" s="33"/>
      <c r="I197" s="37"/>
      <c r="J197" s="37"/>
      <c r="K197" s="37"/>
      <c r="L197" s="37"/>
      <c r="M197" s="69"/>
      <c r="N197" s="69"/>
      <c r="O197" s="46">
        <v>5.3230000000000004</v>
      </c>
      <c r="P197" s="29" t="s">
        <v>908</v>
      </c>
      <c r="Q197" s="30">
        <v>1</v>
      </c>
      <c r="R197" s="30" t="s">
        <v>909</v>
      </c>
      <c r="S197" s="31">
        <v>3</v>
      </c>
      <c r="T197" s="31">
        <v>0</v>
      </c>
      <c r="U197" s="31">
        <v>0</v>
      </c>
      <c r="V197" s="31">
        <v>0</v>
      </c>
      <c r="W197" s="30"/>
      <c r="X197" s="614"/>
      <c r="Y197" s="11"/>
    </row>
    <row r="198" spans="1:25" ht="20.100000000000001" customHeight="1" x14ac:dyDescent="0.2">
      <c r="A198" s="621" t="s">
        <v>910</v>
      </c>
      <c r="B198" s="24" t="s">
        <v>911</v>
      </c>
      <c r="C198" s="25" t="s">
        <v>627</v>
      </c>
      <c r="D198" s="674" t="s">
        <v>912</v>
      </c>
      <c r="E198" s="611">
        <v>2.899</v>
      </c>
      <c r="F198" s="71" t="s">
        <v>913</v>
      </c>
      <c r="G198" s="79"/>
      <c r="H198" s="79"/>
      <c r="I198" s="79"/>
      <c r="J198" s="79"/>
      <c r="K198" s="79"/>
      <c r="L198" s="79"/>
      <c r="M198" s="79">
        <v>1.5</v>
      </c>
      <c r="N198" s="79" t="s">
        <v>914</v>
      </c>
      <c r="O198" s="80"/>
      <c r="P198" s="27"/>
      <c r="Q198" s="69"/>
      <c r="R198" s="27"/>
      <c r="S198" s="37"/>
      <c r="T198" s="37"/>
      <c r="U198" s="37"/>
      <c r="V198" s="37"/>
      <c r="W198" s="69"/>
      <c r="X198" s="629"/>
      <c r="Y198" s="11"/>
    </row>
    <row r="199" spans="1:25" ht="20.100000000000001" customHeight="1" x14ac:dyDescent="0.2">
      <c r="A199" s="621" t="s">
        <v>915</v>
      </c>
      <c r="B199" s="24" t="s">
        <v>916</v>
      </c>
      <c r="C199" s="25" t="s">
        <v>68</v>
      </c>
      <c r="D199" s="674" t="s">
        <v>917</v>
      </c>
      <c r="E199" s="608"/>
      <c r="F199" s="33"/>
      <c r="G199" s="69"/>
      <c r="H199" s="33"/>
      <c r="I199" s="37"/>
      <c r="J199" s="37"/>
      <c r="K199" s="37"/>
      <c r="L199" s="37"/>
      <c r="M199" s="69"/>
      <c r="N199" s="69"/>
      <c r="O199" s="46">
        <v>0.224</v>
      </c>
      <c r="P199" s="29" t="s">
        <v>918</v>
      </c>
      <c r="Q199" s="30"/>
      <c r="R199" s="30"/>
      <c r="S199" s="31"/>
      <c r="T199" s="31"/>
      <c r="U199" s="31"/>
      <c r="V199" s="31"/>
      <c r="W199" s="30"/>
      <c r="X199" s="614"/>
      <c r="Y199" s="11"/>
    </row>
    <row r="200" spans="1:25" ht="20.100000000000001" customHeight="1" x14ac:dyDescent="0.2">
      <c r="A200" s="621" t="s">
        <v>919</v>
      </c>
      <c r="B200" s="24" t="s">
        <v>920</v>
      </c>
      <c r="C200" s="25" t="s">
        <v>68</v>
      </c>
      <c r="D200" s="674" t="s">
        <v>921</v>
      </c>
      <c r="E200" s="608"/>
      <c r="F200" s="33"/>
      <c r="G200" s="69"/>
      <c r="H200" s="33"/>
      <c r="I200" s="37"/>
      <c r="J200" s="37"/>
      <c r="K200" s="37"/>
      <c r="L200" s="37"/>
      <c r="M200" s="69"/>
      <c r="N200" s="69"/>
      <c r="O200" s="46">
        <v>13.026999999999999</v>
      </c>
      <c r="P200" s="29" t="s">
        <v>922</v>
      </c>
      <c r="Q200" s="30">
        <v>6</v>
      </c>
      <c r="R200" s="30" t="s">
        <v>923</v>
      </c>
      <c r="S200" s="31">
        <v>14</v>
      </c>
      <c r="T200" s="31">
        <v>1</v>
      </c>
      <c r="U200" s="31">
        <v>1</v>
      </c>
      <c r="V200" s="31">
        <v>0</v>
      </c>
      <c r="W200" s="30"/>
      <c r="X200" s="614"/>
      <c r="Y200" s="11"/>
    </row>
    <row r="201" spans="1:25" ht="20.100000000000001" customHeight="1" x14ac:dyDescent="0.2">
      <c r="A201" s="621" t="s">
        <v>924</v>
      </c>
      <c r="B201" s="24" t="s">
        <v>925</v>
      </c>
      <c r="C201" s="25" t="s">
        <v>68</v>
      </c>
      <c r="D201" s="674" t="s">
        <v>926</v>
      </c>
      <c r="E201" s="608"/>
      <c r="F201" s="33"/>
      <c r="G201" s="69"/>
      <c r="H201" s="33"/>
      <c r="I201" s="37"/>
      <c r="J201" s="37"/>
      <c r="K201" s="37"/>
      <c r="L201" s="37"/>
      <c r="M201" s="69"/>
      <c r="N201" s="69"/>
      <c r="O201" s="46">
        <v>2.4390000000000001</v>
      </c>
      <c r="P201" s="29" t="s">
        <v>927</v>
      </c>
      <c r="Q201" s="30"/>
      <c r="R201" s="30"/>
      <c r="S201" s="31"/>
      <c r="T201" s="31"/>
      <c r="U201" s="31"/>
      <c r="V201" s="31"/>
      <c r="W201" s="30"/>
      <c r="X201" s="614"/>
      <c r="Y201" s="11"/>
    </row>
    <row r="202" spans="1:25" ht="20.100000000000001" customHeight="1" x14ac:dyDescent="0.2">
      <c r="A202" s="621" t="s">
        <v>928</v>
      </c>
      <c r="B202" s="24" t="s">
        <v>929</v>
      </c>
      <c r="C202" s="25" t="s">
        <v>68</v>
      </c>
      <c r="D202" s="674" t="s">
        <v>930</v>
      </c>
      <c r="E202" s="608"/>
      <c r="F202" s="33"/>
      <c r="G202" s="69"/>
      <c r="H202" s="33"/>
      <c r="I202" s="37"/>
      <c r="J202" s="37"/>
      <c r="K202" s="37"/>
      <c r="L202" s="37"/>
      <c r="M202" s="69"/>
      <c r="N202" s="69"/>
      <c r="O202" s="46">
        <v>0.8</v>
      </c>
      <c r="P202" s="29" t="s">
        <v>931</v>
      </c>
      <c r="Q202" s="30"/>
      <c r="R202" s="30"/>
      <c r="S202" s="31"/>
      <c r="T202" s="31"/>
      <c r="U202" s="31"/>
      <c r="V202" s="31"/>
      <c r="W202" s="30"/>
      <c r="X202" s="614"/>
      <c r="Y202" s="11"/>
    </row>
    <row r="203" spans="1:25" s="2" customFormat="1" ht="20.100000000000001" customHeight="1" x14ac:dyDescent="0.2">
      <c r="A203" s="621" t="s">
        <v>932</v>
      </c>
      <c r="B203" s="24" t="s">
        <v>933</v>
      </c>
      <c r="C203" s="90" t="s">
        <v>68</v>
      </c>
      <c r="D203" s="674" t="s">
        <v>934</v>
      </c>
      <c r="E203" s="663"/>
      <c r="F203" s="82"/>
      <c r="G203" s="51"/>
      <c r="H203" s="82"/>
      <c r="I203" s="50"/>
      <c r="J203" s="50"/>
      <c r="K203" s="50"/>
      <c r="L203" s="50"/>
      <c r="M203" s="51"/>
      <c r="N203" s="51"/>
      <c r="O203" s="46">
        <v>19.327999999999999</v>
      </c>
      <c r="P203" s="28" t="s">
        <v>935</v>
      </c>
      <c r="Q203" s="46">
        <v>8.5</v>
      </c>
      <c r="R203" s="46" t="s">
        <v>936</v>
      </c>
      <c r="S203" s="47">
        <v>19</v>
      </c>
      <c r="T203" s="47">
        <v>6</v>
      </c>
      <c r="U203" s="47">
        <v>3</v>
      </c>
      <c r="V203" s="47">
        <v>0</v>
      </c>
      <c r="W203" s="46"/>
      <c r="X203" s="617"/>
    </row>
    <row r="204" spans="1:25" ht="20.100000000000001" customHeight="1" x14ac:dyDescent="0.2">
      <c r="A204" s="621" t="s">
        <v>937</v>
      </c>
      <c r="B204" s="24" t="s">
        <v>938</v>
      </c>
      <c r="C204" s="25" t="s">
        <v>68</v>
      </c>
      <c r="D204" s="674" t="s">
        <v>939</v>
      </c>
      <c r="E204" s="608"/>
      <c r="F204" s="33"/>
      <c r="G204" s="69"/>
      <c r="H204" s="33"/>
      <c r="I204" s="37"/>
      <c r="J204" s="37"/>
      <c r="K204" s="37"/>
      <c r="L204" s="37"/>
      <c r="M204" s="69"/>
      <c r="N204" s="69"/>
      <c r="O204" s="46">
        <v>3.625</v>
      </c>
      <c r="P204" s="29" t="s">
        <v>940</v>
      </c>
      <c r="Q204" s="30"/>
      <c r="R204" s="30"/>
      <c r="S204" s="31"/>
      <c r="T204" s="31"/>
      <c r="U204" s="31"/>
      <c r="V204" s="31"/>
      <c r="W204" s="30"/>
      <c r="X204" s="614"/>
      <c r="Y204" s="11"/>
    </row>
    <row r="205" spans="1:25" ht="20.100000000000001" customHeight="1" x14ac:dyDescent="0.2">
      <c r="A205" s="621" t="s">
        <v>941</v>
      </c>
      <c r="B205" s="24" t="s">
        <v>942</v>
      </c>
      <c r="C205" s="25" t="s">
        <v>68</v>
      </c>
      <c r="D205" s="674" t="s">
        <v>943</v>
      </c>
      <c r="E205" s="608"/>
      <c r="F205" s="33"/>
      <c r="G205" s="69"/>
      <c r="H205" s="33"/>
      <c r="I205" s="37"/>
      <c r="J205" s="37"/>
      <c r="K205" s="37"/>
      <c r="L205" s="37"/>
      <c r="M205" s="69"/>
      <c r="N205" s="69"/>
      <c r="O205" s="46">
        <v>2.9039999999999999</v>
      </c>
      <c r="P205" s="29" t="s">
        <v>944</v>
      </c>
      <c r="Q205" s="30"/>
      <c r="R205" s="30"/>
      <c r="S205" s="31"/>
      <c r="T205" s="31"/>
      <c r="U205" s="31"/>
      <c r="V205" s="31"/>
      <c r="W205" s="30"/>
      <c r="X205" s="614"/>
      <c r="Y205" s="11"/>
    </row>
    <row r="206" spans="1:25" ht="20.100000000000001" customHeight="1" x14ac:dyDescent="0.2">
      <c r="A206" s="621" t="s">
        <v>945</v>
      </c>
      <c r="B206" s="24" t="s">
        <v>946</v>
      </c>
      <c r="C206" s="25" t="s">
        <v>627</v>
      </c>
      <c r="D206" s="674" t="s">
        <v>947</v>
      </c>
      <c r="E206" s="611">
        <f>13-0.305</f>
        <v>12.695</v>
      </c>
      <c r="F206" s="79" t="s">
        <v>1796</v>
      </c>
      <c r="G206" s="79">
        <v>13</v>
      </c>
      <c r="H206" s="79">
        <v>0</v>
      </c>
      <c r="I206" s="78">
        <v>93</v>
      </c>
      <c r="J206" s="78">
        <v>0</v>
      </c>
      <c r="K206" s="78">
        <v>17</v>
      </c>
      <c r="L206" s="78">
        <v>0</v>
      </c>
      <c r="M206" s="79">
        <v>0</v>
      </c>
      <c r="N206" s="78">
        <v>0</v>
      </c>
      <c r="O206" s="46">
        <v>16.155000000000001</v>
      </c>
      <c r="P206" s="29" t="s">
        <v>948</v>
      </c>
      <c r="Q206" s="94"/>
      <c r="R206" s="30"/>
      <c r="S206" s="31"/>
      <c r="T206" s="31"/>
      <c r="U206" s="31"/>
      <c r="V206" s="31"/>
      <c r="W206" s="30">
        <f>29.155-13</f>
        <v>16.155000000000001</v>
      </c>
      <c r="X206" s="614" t="s">
        <v>949</v>
      </c>
      <c r="Y206" s="11"/>
    </row>
    <row r="207" spans="1:25" ht="20.100000000000001" customHeight="1" x14ac:dyDescent="0.2">
      <c r="A207" s="621" t="s">
        <v>950</v>
      </c>
      <c r="B207" s="24" t="s">
        <v>951</v>
      </c>
      <c r="C207" s="25" t="s">
        <v>627</v>
      </c>
      <c r="D207" s="674" t="s">
        <v>952</v>
      </c>
      <c r="E207" s="608"/>
      <c r="F207" s="33"/>
      <c r="G207" s="69"/>
      <c r="H207" s="33"/>
      <c r="I207" s="37"/>
      <c r="J207" s="37"/>
      <c r="K207" s="37"/>
      <c r="L207" s="37"/>
      <c r="M207" s="69"/>
      <c r="N207" s="69"/>
      <c r="O207" s="30">
        <v>19.756</v>
      </c>
      <c r="P207" s="29" t="s">
        <v>953</v>
      </c>
      <c r="Q207" s="94"/>
      <c r="R207" s="30"/>
      <c r="S207" s="30"/>
      <c r="T207" s="30"/>
      <c r="U207" s="30"/>
      <c r="V207" s="30"/>
      <c r="W207" s="30">
        <f>21.556-1.8</f>
        <v>19.756</v>
      </c>
      <c r="X207" s="614" t="s">
        <v>954</v>
      </c>
      <c r="Y207" s="11"/>
    </row>
    <row r="208" spans="1:25" ht="20.100000000000001" customHeight="1" x14ac:dyDescent="0.2">
      <c r="A208" s="621" t="s">
        <v>955</v>
      </c>
      <c r="B208" s="24" t="s">
        <v>956</v>
      </c>
      <c r="C208" s="25" t="s">
        <v>627</v>
      </c>
      <c r="D208" s="674" t="s">
        <v>957</v>
      </c>
      <c r="E208" s="608"/>
      <c r="F208" s="33"/>
      <c r="G208" s="69"/>
      <c r="H208" s="33"/>
      <c r="I208" s="37"/>
      <c r="J208" s="37"/>
      <c r="K208" s="37"/>
      <c r="L208" s="37"/>
      <c r="M208" s="69"/>
      <c r="N208" s="69"/>
      <c r="O208" s="30">
        <v>16.798999999999999</v>
      </c>
      <c r="P208" s="29" t="s">
        <v>958</v>
      </c>
      <c r="Q208" s="94"/>
      <c r="R208" s="30"/>
      <c r="S208" s="30"/>
      <c r="T208" s="30"/>
      <c r="U208" s="30"/>
      <c r="V208" s="30"/>
      <c r="W208" s="30">
        <v>9.9</v>
      </c>
      <c r="X208" s="614" t="s">
        <v>958</v>
      </c>
      <c r="Y208" s="11"/>
    </row>
    <row r="209" spans="1:25" ht="20.100000000000001" customHeight="1" x14ac:dyDescent="0.2">
      <c r="A209" s="621" t="s">
        <v>959</v>
      </c>
      <c r="B209" s="24" t="s">
        <v>960</v>
      </c>
      <c r="C209" s="25" t="s">
        <v>627</v>
      </c>
      <c r="D209" s="674" t="s">
        <v>961</v>
      </c>
      <c r="E209" s="608"/>
      <c r="F209" s="33"/>
      <c r="G209" s="69"/>
      <c r="H209" s="33"/>
      <c r="I209" s="37"/>
      <c r="J209" s="37"/>
      <c r="K209" s="37"/>
      <c r="L209" s="37"/>
      <c r="M209" s="69"/>
      <c r="N209" s="69"/>
      <c r="O209" s="30">
        <v>68.319999999999993</v>
      </c>
      <c r="P209" s="29" t="s">
        <v>962</v>
      </c>
      <c r="Q209" s="94">
        <f>21*0.5</f>
        <v>10.5</v>
      </c>
      <c r="R209" s="30" t="s">
        <v>963</v>
      </c>
      <c r="S209" s="30">
        <v>23</v>
      </c>
      <c r="T209" s="30"/>
      <c r="U209" s="30">
        <v>2</v>
      </c>
      <c r="V209" s="30">
        <v>7</v>
      </c>
      <c r="W209" s="30">
        <f>27.38-24.454+92.774-90.26</f>
        <v>5.4399999999999977</v>
      </c>
      <c r="X209" s="614" t="s">
        <v>964</v>
      </c>
      <c r="Y209" s="11"/>
    </row>
    <row r="210" spans="1:25" ht="20.100000000000001" customHeight="1" x14ac:dyDescent="0.2">
      <c r="A210" s="621" t="s">
        <v>965</v>
      </c>
      <c r="B210" s="498" t="s">
        <v>966</v>
      </c>
      <c r="C210" s="25" t="s">
        <v>627</v>
      </c>
      <c r="D210" s="674" t="s">
        <v>967</v>
      </c>
      <c r="E210" s="611">
        <v>4.1390000000000002</v>
      </c>
      <c r="F210" s="71" t="s">
        <v>970</v>
      </c>
      <c r="G210" s="79">
        <v>4</v>
      </c>
      <c r="H210" s="98" t="s">
        <v>1778</v>
      </c>
      <c r="I210" s="98"/>
      <c r="J210" s="98"/>
      <c r="K210" s="98"/>
      <c r="L210" s="98"/>
      <c r="M210" s="98"/>
      <c r="N210" s="98"/>
      <c r="O210" s="30">
        <f>10.6-1.643</f>
        <v>8.956999999999999</v>
      </c>
      <c r="P210" s="29" t="s">
        <v>1797</v>
      </c>
      <c r="Q210" s="93">
        <v>1.06</v>
      </c>
      <c r="R210" s="30" t="s">
        <v>968</v>
      </c>
      <c r="S210" s="30">
        <v>1</v>
      </c>
      <c r="T210" s="30"/>
      <c r="U210" s="30">
        <v>1</v>
      </c>
      <c r="V210" s="30">
        <v>2</v>
      </c>
      <c r="W210" s="30">
        <f>2.54-1.643+14.739-6.603</f>
        <v>9.0330000000000013</v>
      </c>
      <c r="X210" s="614" t="s">
        <v>969</v>
      </c>
      <c r="Y210" s="11"/>
    </row>
    <row r="211" spans="1:25" ht="20.100000000000001" customHeight="1" x14ac:dyDescent="0.2">
      <c r="A211" s="621" t="s">
        <v>971</v>
      </c>
      <c r="B211" s="24" t="s">
        <v>972</v>
      </c>
      <c r="C211" s="25" t="s">
        <v>627</v>
      </c>
      <c r="D211" s="674" t="s">
        <v>973</v>
      </c>
      <c r="E211" s="608"/>
      <c r="F211" s="33"/>
      <c r="G211" s="69"/>
      <c r="H211" s="33"/>
      <c r="I211" s="37"/>
      <c r="J211" s="37"/>
      <c r="K211" s="37"/>
      <c r="L211" s="37"/>
      <c r="M211" s="69"/>
      <c r="N211" s="69"/>
      <c r="O211" s="30">
        <v>5.3479999999999999</v>
      </c>
      <c r="P211" s="29" t="s">
        <v>974</v>
      </c>
      <c r="Q211" s="94"/>
      <c r="R211" s="30"/>
      <c r="S211" s="30"/>
      <c r="T211" s="30"/>
      <c r="U211" s="30"/>
      <c r="V211" s="30"/>
      <c r="W211" s="30">
        <v>2.7</v>
      </c>
      <c r="X211" s="614" t="s">
        <v>972</v>
      </c>
      <c r="Y211" s="11"/>
    </row>
    <row r="212" spans="1:25" ht="20.100000000000001" customHeight="1" x14ac:dyDescent="0.2">
      <c r="A212" s="621" t="s">
        <v>975</v>
      </c>
      <c r="B212" s="24" t="s">
        <v>976</v>
      </c>
      <c r="C212" s="25" t="s">
        <v>627</v>
      </c>
      <c r="D212" s="674" t="s">
        <v>977</v>
      </c>
      <c r="E212" s="608"/>
      <c r="F212" s="33"/>
      <c r="G212" s="69"/>
      <c r="H212" s="33"/>
      <c r="I212" s="37"/>
      <c r="J212" s="37"/>
      <c r="K212" s="37"/>
      <c r="L212" s="37"/>
      <c r="M212" s="69"/>
      <c r="N212" s="69"/>
      <c r="O212" s="30">
        <v>23.015000000000001</v>
      </c>
      <c r="P212" s="29" t="s">
        <v>978</v>
      </c>
      <c r="Q212" s="94"/>
      <c r="R212" s="30"/>
      <c r="S212" s="30"/>
      <c r="T212" s="30"/>
      <c r="U212" s="30"/>
      <c r="V212" s="30"/>
      <c r="W212" s="30">
        <v>12</v>
      </c>
      <c r="X212" s="614" t="s">
        <v>978</v>
      </c>
      <c r="Y212" s="11"/>
    </row>
    <row r="213" spans="1:25" ht="20.100000000000001" customHeight="1" x14ac:dyDescent="0.2">
      <c r="A213" s="621" t="s">
        <v>979</v>
      </c>
      <c r="B213" s="24" t="s">
        <v>980</v>
      </c>
      <c r="C213" s="25" t="s">
        <v>627</v>
      </c>
      <c r="D213" s="674" t="s">
        <v>981</v>
      </c>
      <c r="E213" s="608"/>
      <c r="F213" s="33"/>
      <c r="G213" s="69"/>
      <c r="H213" s="33"/>
      <c r="I213" s="37"/>
      <c r="J213" s="37"/>
      <c r="K213" s="37"/>
      <c r="L213" s="37"/>
      <c r="M213" s="69"/>
      <c r="N213" s="69"/>
      <c r="O213" s="30">
        <v>13.034000000000001</v>
      </c>
      <c r="P213" s="29" t="s">
        <v>982</v>
      </c>
      <c r="Q213" s="94"/>
      <c r="R213" s="30"/>
      <c r="S213" s="30"/>
      <c r="T213" s="30"/>
      <c r="U213" s="30"/>
      <c r="V213" s="30"/>
      <c r="W213" s="30">
        <v>12.5</v>
      </c>
      <c r="X213" s="614" t="s">
        <v>982</v>
      </c>
      <c r="Y213" s="11"/>
    </row>
    <row r="214" spans="1:25" ht="20.100000000000001" customHeight="1" x14ac:dyDescent="0.2">
      <c r="A214" s="621" t="s">
        <v>983</v>
      </c>
      <c r="B214" s="24" t="s">
        <v>984</v>
      </c>
      <c r="C214" s="25" t="s">
        <v>627</v>
      </c>
      <c r="D214" s="674" t="s">
        <v>985</v>
      </c>
      <c r="E214" s="608"/>
      <c r="F214" s="33"/>
      <c r="G214" s="69"/>
      <c r="H214" s="33"/>
      <c r="I214" s="37"/>
      <c r="J214" s="37"/>
      <c r="K214" s="37"/>
      <c r="L214" s="37"/>
      <c r="M214" s="69"/>
      <c r="N214" s="69"/>
      <c r="O214" s="30">
        <v>61.691000000000003</v>
      </c>
      <c r="P214" s="29" t="s">
        <v>986</v>
      </c>
      <c r="Q214" s="94"/>
      <c r="R214" s="30"/>
      <c r="S214" s="30"/>
      <c r="T214" s="30"/>
      <c r="U214" s="30"/>
      <c r="V214" s="30"/>
      <c r="W214" s="30">
        <v>31</v>
      </c>
      <c r="X214" s="614" t="s">
        <v>986</v>
      </c>
      <c r="Y214" s="11"/>
    </row>
    <row r="215" spans="1:25" s="116" customFormat="1" ht="45.75" customHeight="1" x14ac:dyDescent="0.2">
      <c r="A215" s="684" t="s">
        <v>987</v>
      </c>
      <c r="B215" s="111" t="s">
        <v>988</v>
      </c>
      <c r="C215" s="112" t="s">
        <v>989</v>
      </c>
      <c r="D215" s="677" t="s">
        <v>990</v>
      </c>
      <c r="E215" s="667">
        <v>28.285</v>
      </c>
      <c r="F215" s="72" t="s">
        <v>1656</v>
      </c>
      <c r="G215" s="73"/>
      <c r="H215" s="72"/>
      <c r="I215" s="73"/>
      <c r="J215" s="73"/>
      <c r="K215" s="73"/>
      <c r="L215" s="73"/>
      <c r="M215" s="74">
        <v>28.3</v>
      </c>
      <c r="N215" s="74"/>
      <c r="O215" s="46">
        <v>62.869</v>
      </c>
      <c r="P215" s="40" t="s">
        <v>1655</v>
      </c>
      <c r="Q215" s="58"/>
      <c r="R215" s="57"/>
      <c r="S215" s="58"/>
      <c r="T215" s="58"/>
      <c r="U215" s="58"/>
      <c r="V215" s="58"/>
      <c r="W215" s="57">
        <v>26.259</v>
      </c>
      <c r="X215" s="636" t="s">
        <v>1762</v>
      </c>
    </row>
    <row r="216" spans="1:25" ht="26.25" customHeight="1" x14ac:dyDescent="0.2">
      <c r="A216" s="621" t="s">
        <v>994</v>
      </c>
      <c r="B216" s="24" t="s">
        <v>995</v>
      </c>
      <c r="C216" s="25" t="s">
        <v>627</v>
      </c>
      <c r="D216" s="678" t="s">
        <v>1761</v>
      </c>
      <c r="E216" s="101">
        <v>19.792999999999999</v>
      </c>
      <c r="F216" s="71" t="s">
        <v>997</v>
      </c>
      <c r="G216" s="79"/>
      <c r="H216" s="73"/>
      <c r="I216" s="73"/>
      <c r="J216" s="73"/>
      <c r="K216" s="73"/>
      <c r="L216" s="73"/>
      <c r="M216" s="73">
        <v>10</v>
      </c>
      <c r="N216" s="73" t="s">
        <v>997</v>
      </c>
      <c r="O216" s="80"/>
      <c r="P216" s="27"/>
      <c r="Q216" s="95"/>
      <c r="R216" s="80"/>
      <c r="S216" s="81"/>
      <c r="T216" s="81"/>
      <c r="U216" s="81"/>
      <c r="V216" s="81"/>
      <c r="W216" s="95"/>
      <c r="X216" s="627"/>
      <c r="Y216" s="11"/>
    </row>
    <row r="217" spans="1:25" ht="20.100000000000001" customHeight="1" x14ac:dyDescent="0.2">
      <c r="A217" s="621" t="s">
        <v>998</v>
      </c>
      <c r="B217" s="24" t="s">
        <v>999</v>
      </c>
      <c r="C217" s="25" t="s">
        <v>627</v>
      </c>
      <c r="D217" s="674" t="s">
        <v>1000</v>
      </c>
      <c r="E217" s="608"/>
      <c r="F217" s="33"/>
      <c r="G217" s="69"/>
      <c r="H217" s="33"/>
      <c r="I217" s="37"/>
      <c r="J217" s="37"/>
      <c r="K217" s="37"/>
      <c r="L217" s="37"/>
      <c r="M217" s="69"/>
      <c r="N217" s="69"/>
      <c r="O217" s="30">
        <v>0.4920000000000001</v>
      </c>
      <c r="P217" s="29" t="s">
        <v>1001</v>
      </c>
      <c r="Q217" s="94"/>
      <c r="R217" s="30"/>
      <c r="S217" s="31"/>
      <c r="T217" s="31"/>
      <c r="U217" s="31"/>
      <c r="V217" s="31"/>
      <c r="W217" s="94"/>
      <c r="X217" s="614"/>
      <c r="Y217" s="11"/>
    </row>
    <row r="218" spans="1:25" ht="20.100000000000001" customHeight="1" x14ac:dyDescent="0.2">
      <c r="A218" s="621" t="s">
        <v>1002</v>
      </c>
      <c r="B218" s="24" t="s">
        <v>1003</v>
      </c>
      <c r="C218" s="25" t="s">
        <v>627</v>
      </c>
      <c r="D218" s="674" t="s">
        <v>1004</v>
      </c>
      <c r="E218" s="611">
        <v>0.71000000000000019</v>
      </c>
      <c r="F218" s="71" t="s">
        <v>1005</v>
      </c>
      <c r="G218" s="79"/>
      <c r="H218" s="79"/>
      <c r="I218" s="79"/>
      <c r="J218" s="79"/>
      <c r="K218" s="79"/>
      <c r="L218" s="79"/>
      <c r="M218" s="79">
        <f>2.047-1.337</f>
        <v>0.71000000000000019</v>
      </c>
      <c r="N218" s="79" t="s">
        <v>1766</v>
      </c>
      <c r="O218" s="80"/>
      <c r="P218" s="27"/>
      <c r="Q218" s="69"/>
      <c r="R218" s="27"/>
      <c r="S218" s="37"/>
      <c r="T218" s="37"/>
      <c r="U218" s="37"/>
      <c r="V218" s="37"/>
      <c r="W218" s="69"/>
      <c r="X218" s="629"/>
      <c r="Y218" s="11"/>
    </row>
    <row r="219" spans="1:25" ht="20.100000000000001" customHeight="1" x14ac:dyDescent="0.2">
      <c r="A219" s="621" t="s">
        <v>1006</v>
      </c>
      <c r="B219" s="24" t="s">
        <v>1007</v>
      </c>
      <c r="C219" s="25" t="s">
        <v>627</v>
      </c>
      <c r="D219" s="674" t="s">
        <v>1008</v>
      </c>
      <c r="E219" s="608"/>
      <c r="F219" s="33"/>
      <c r="G219" s="69"/>
      <c r="H219" s="33"/>
      <c r="I219" s="37"/>
      <c r="J219" s="37"/>
      <c r="K219" s="37"/>
      <c r="L219" s="37"/>
      <c r="M219" s="69"/>
      <c r="N219" s="69"/>
      <c r="O219" s="30">
        <v>33.809000000000005</v>
      </c>
      <c r="P219" s="29" t="s">
        <v>1009</v>
      </c>
      <c r="Q219" s="94"/>
      <c r="R219" s="94"/>
      <c r="S219" s="94"/>
      <c r="T219" s="94"/>
      <c r="U219" s="94"/>
      <c r="V219" s="94"/>
      <c r="W219" s="94">
        <f>34.447-0.638</f>
        <v>33.809000000000005</v>
      </c>
      <c r="X219" s="635" t="s">
        <v>1009</v>
      </c>
      <c r="Y219" s="11"/>
    </row>
    <row r="220" spans="1:25" ht="20.100000000000001" customHeight="1" x14ac:dyDescent="0.2">
      <c r="A220" s="621" t="s">
        <v>1010</v>
      </c>
      <c r="B220" s="24" t="s">
        <v>1011</v>
      </c>
      <c r="C220" s="25" t="s">
        <v>627</v>
      </c>
      <c r="D220" s="676" t="s">
        <v>1012</v>
      </c>
      <c r="E220" s="101">
        <v>11.077</v>
      </c>
      <c r="F220" s="71" t="s">
        <v>1013</v>
      </c>
      <c r="G220" s="79">
        <v>11.1</v>
      </c>
      <c r="H220" s="79" t="s">
        <v>1014</v>
      </c>
      <c r="I220" s="79">
        <v>53</v>
      </c>
      <c r="J220" s="79"/>
      <c r="K220" s="79">
        <v>18</v>
      </c>
      <c r="L220" s="79"/>
      <c r="M220" s="79"/>
      <c r="N220" s="79"/>
      <c r="O220" s="80"/>
      <c r="P220" s="27"/>
      <c r="Q220" s="95"/>
      <c r="R220" s="80"/>
      <c r="S220" s="81"/>
      <c r="T220" s="81"/>
      <c r="U220" s="81"/>
      <c r="V220" s="81"/>
      <c r="W220" s="95"/>
      <c r="X220" s="627"/>
      <c r="Y220" s="11"/>
    </row>
    <row r="221" spans="1:25" ht="20.100000000000001" customHeight="1" x14ac:dyDescent="0.2">
      <c r="A221" s="621" t="s">
        <v>1015</v>
      </c>
      <c r="B221" s="24" t="s">
        <v>1016</v>
      </c>
      <c r="C221" s="25" t="s">
        <v>627</v>
      </c>
      <c r="D221" s="674" t="s">
        <v>1017</v>
      </c>
      <c r="E221" s="608"/>
      <c r="F221" s="33"/>
      <c r="G221" s="69"/>
      <c r="H221" s="33"/>
      <c r="I221" s="37"/>
      <c r="J221" s="37"/>
      <c r="K221" s="37"/>
      <c r="L221" s="37"/>
      <c r="M221" s="69"/>
      <c r="N221" s="69"/>
      <c r="O221" s="46">
        <f>62.089-0.222</f>
        <v>61.866999999999997</v>
      </c>
      <c r="P221" s="29" t="s">
        <v>1798</v>
      </c>
      <c r="Q221" s="94">
        <v>8</v>
      </c>
      <c r="R221" s="30" t="s">
        <v>1019</v>
      </c>
      <c r="S221" s="31">
        <v>28</v>
      </c>
      <c r="T221" s="31"/>
      <c r="U221" s="31">
        <v>35</v>
      </c>
      <c r="V221" s="31">
        <v>35</v>
      </c>
      <c r="W221" s="94">
        <v>54</v>
      </c>
      <c r="X221" s="614" t="s">
        <v>1777</v>
      </c>
      <c r="Y221" s="11"/>
    </row>
    <row r="222" spans="1:25" ht="20.100000000000001" customHeight="1" x14ac:dyDescent="0.2">
      <c r="A222" s="621" t="s">
        <v>1020</v>
      </c>
      <c r="B222" s="24" t="s">
        <v>1021</v>
      </c>
      <c r="C222" s="25" t="s">
        <v>627</v>
      </c>
      <c r="D222" s="674" t="s">
        <v>1022</v>
      </c>
      <c r="E222" s="608"/>
      <c r="F222" s="33"/>
      <c r="G222" s="69"/>
      <c r="H222" s="33"/>
      <c r="I222" s="37"/>
      <c r="J222" s="37"/>
      <c r="K222" s="37"/>
      <c r="L222" s="37"/>
      <c r="M222" s="69"/>
      <c r="N222" s="69"/>
      <c r="O222" s="30">
        <v>2.3140000000000001</v>
      </c>
      <c r="P222" s="29" t="s">
        <v>1023</v>
      </c>
      <c r="Q222" s="94"/>
      <c r="R222" s="94"/>
      <c r="S222" s="94"/>
      <c r="T222" s="94"/>
      <c r="U222" s="94"/>
      <c r="V222" s="94"/>
      <c r="W222" s="94">
        <v>1.2</v>
      </c>
      <c r="X222" s="635" t="s">
        <v>1023</v>
      </c>
      <c r="Y222" s="11"/>
    </row>
    <row r="223" spans="1:25" ht="20.25" customHeight="1" x14ac:dyDescent="0.2">
      <c r="A223" s="621" t="s">
        <v>1024</v>
      </c>
      <c r="B223" s="498" t="s">
        <v>1025</v>
      </c>
      <c r="C223" s="100" t="s">
        <v>36</v>
      </c>
      <c r="D223" s="674" t="s">
        <v>1026</v>
      </c>
      <c r="E223" s="609">
        <v>3.6</v>
      </c>
      <c r="F223" s="98" t="s">
        <v>1027</v>
      </c>
      <c r="G223" s="61"/>
      <c r="H223" s="98"/>
      <c r="I223" s="60"/>
      <c r="J223" s="60"/>
      <c r="K223" s="60"/>
      <c r="L223" s="60"/>
      <c r="M223" s="61">
        <v>3.6</v>
      </c>
      <c r="N223" s="61"/>
      <c r="O223" s="46">
        <v>13.076000000000001</v>
      </c>
      <c r="P223" s="40" t="s">
        <v>1810</v>
      </c>
      <c r="Q223" s="41"/>
      <c r="R223" s="41"/>
      <c r="S223" s="42"/>
      <c r="T223" s="42"/>
      <c r="U223" s="42"/>
      <c r="V223" s="42"/>
      <c r="W223" s="41">
        <v>9</v>
      </c>
      <c r="X223" s="615"/>
      <c r="Y223" s="11"/>
    </row>
    <row r="224" spans="1:25" ht="63" x14ac:dyDescent="0.2">
      <c r="A224" s="621" t="s">
        <v>1028</v>
      </c>
      <c r="B224" s="498" t="s">
        <v>1029</v>
      </c>
      <c r="C224" s="100" t="s">
        <v>36</v>
      </c>
      <c r="D224" s="674" t="s">
        <v>1030</v>
      </c>
      <c r="E224" s="609">
        <v>33.098999999999997</v>
      </c>
      <c r="F224" s="71" t="s">
        <v>1812</v>
      </c>
      <c r="G224" s="79"/>
      <c r="H224" s="71"/>
      <c r="I224" s="78"/>
      <c r="J224" s="78"/>
      <c r="K224" s="78"/>
      <c r="L224" s="78"/>
      <c r="M224" s="79">
        <v>33.1</v>
      </c>
      <c r="N224" s="79"/>
      <c r="O224" s="46">
        <v>5.226</v>
      </c>
      <c r="P224" s="29" t="s">
        <v>1811</v>
      </c>
      <c r="Q224" s="29"/>
      <c r="R224" s="29"/>
      <c r="S224" s="68"/>
      <c r="T224" s="68"/>
      <c r="U224" s="68"/>
      <c r="V224" s="68"/>
      <c r="W224" s="29">
        <v>6</v>
      </c>
      <c r="X224" s="630"/>
      <c r="Y224" s="11"/>
    </row>
    <row r="225" spans="1:25" ht="20.100000000000001" customHeight="1" x14ac:dyDescent="0.2">
      <c r="A225" s="621" t="s">
        <v>1032</v>
      </c>
      <c r="B225" s="498" t="s">
        <v>1033</v>
      </c>
      <c r="C225" s="100" t="s">
        <v>36</v>
      </c>
      <c r="D225" s="674" t="s">
        <v>1034</v>
      </c>
      <c r="E225" s="608"/>
      <c r="F225" s="33"/>
      <c r="G225" s="69"/>
      <c r="H225" s="33"/>
      <c r="I225" s="37"/>
      <c r="J225" s="37"/>
      <c r="K225" s="37"/>
      <c r="L225" s="37"/>
      <c r="M225" s="69"/>
      <c r="N225" s="69"/>
      <c r="O225" s="46">
        <v>6.5439999999999996</v>
      </c>
      <c r="P225" s="29" t="s">
        <v>1035</v>
      </c>
      <c r="Q225" s="30"/>
      <c r="R225" s="30"/>
      <c r="S225" s="31"/>
      <c r="T225" s="31"/>
      <c r="U225" s="31"/>
      <c r="V225" s="31"/>
      <c r="W225" s="30">
        <v>4</v>
      </c>
      <c r="X225" s="614"/>
      <c r="Y225" s="11"/>
    </row>
    <row r="226" spans="1:25" ht="21" x14ac:dyDescent="0.2">
      <c r="A226" s="621" t="s">
        <v>1036</v>
      </c>
      <c r="B226" s="24" t="s">
        <v>1037</v>
      </c>
      <c r="C226" s="25" t="s">
        <v>210</v>
      </c>
      <c r="D226" s="674" t="s">
        <v>1038</v>
      </c>
      <c r="E226" s="611">
        <v>47.582999999999998</v>
      </c>
      <c r="F226" s="72" t="s">
        <v>1040</v>
      </c>
      <c r="G226" s="74">
        <v>0</v>
      </c>
      <c r="H226" s="72"/>
      <c r="I226" s="78">
        <v>0</v>
      </c>
      <c r="J226" s="78">
        <v>0</v>
      </c>
      <c r="K226" s="78">
        <v>0</v>
      </c>
      <c r="L226" s="78">
        <v>0</v>
      </c>
      <c r="M226" s="74">
        <v>23.941500000000001</v>
      </c>
      <c r="N226" s="74"/>
      <c r="O226" s="46">
        <v>9.2970000000000006</v>
      </c>
      <c r="P226" s="40" t="s">
        <v>1039</v>
      </c>
      <c r="Q226" s="62">
        <v>0</v>
      </c>
      <c r="R226" s="62">
        <v>0</v>
      </c>
      <c r="S226" s="63">
        <v>0</v>
      </c>
      <c r="T226" s="63">
        <v>0</v>
      </c>
      <c r="U226" s="63">
        <v>0</v>
      </c>
      <c r="V226" s="63">
        <v>0</v>
      </c>
      <c r="W226" s="62">
        <v>4.4984999999999999</v>
      </c>
      <c r="X226" s="637"/>
      <c r="Y226" s="11"/>
    </row>
    <row r="227" spans="1:25" ht="21" x14ac:dyDescent="0.2">
      <c r="A227" s="621" t="s">
        <v>1043</v>
      </c>
      <c r="B227" s="24" t="s">
        <v>1044</v>
      </c>
      <c r="C227" s="25" t="s">
        <v>163</v>
      </c>
      <c r="D227" s="674" t="s">
        <v>1045</v>
      </c>
      <c r="E227" s="611">
        <v>13.074999999999999</v>
      </c>
      <c r="F227" s="76" t="s">
        <v>1048</v>
      </c>
      <c r="G227" s="79">
        <v>0</v>
      </c>
      <c r="H227" s="76">
        <v>0</v>
      </c>
      <c r="I227" s="78">
        <v>0</v>
      </c>
      <c r="J227" s="78">
        <v>0</v>
      </c>
      <c r="K227" s="78">
        <v>0</v>
      </c>
      <c r="L227" s="78">
        <v>0</v>
      </c>
      <c r="M227" s="79">
        <v>13.074999999999999</v>
      </c>
      <c r="N227" s="79"/>
      <c r="O227" s="46">
        <v>119.401</v>
      </c>
      <c r="P227" s="40" t="s">
        <v>1047</v>
      </c>
      <c r="Q227" s="62">
        <v>0</v>
      </c>
      <c r="R227" s="62">
        <v>0</v>
      </c>
      <c r="S227" s="63">
        <v>0</v>
      </c>
      <c r="T227" s="63">
        <v>0</v>
      </c>
      <c r="U227" s="63">
        <v>0</v>
      </c>
      <c r="V227" s="63">
        <v>0</v>
      </c>
      <c r="W227" s="62">
        <v>59.700499999999998</v>
      </c>
      <c r="X227" s="615"/>
      <c r="Y227" s="11"/>
    </row>
    <row r="228" spans="1:25" ht="20.100000000000001" customHeight="1" x14ac:dyDescent="0.2">
      <c r="A228" s="621" t="s">
        <v>1050</v>
      </c>
      <c r="B228" s="24" t="s">
        <v>1051</v>
      </c>
      <c r="C228" s="25" t="s">
        <v>68</v>
      </c>
      <c r="D228" s="674" t="s">
        <v>1052</v>
      </c>
      <c r="E228" s="608"/>
      <c r="F228" s="33"/>
      <c r="G228" s="69"/>
      <c r="H228" s="33"/>
      <c r="I228" s="37"/>
      <c r="J228" s="37"/>
      <c r="K228" s="37"/>
      <c r="L228" s="37"/>
      <c r="M228" s="69"/>
      <c r="N228" s="69"/>
      <c r="O228" s="46">
        <v>2.7279999999999998</v>
      </c>
      <c r="P228" s="29" t="s">
        <v>1053</v>
      </c>
      <c r="Q228" s="30">
        <v>2.6</v>
      </c>
      <c r="R228" s="30" t="s">
        <v>1054</v>
      </c>
      <c r="S228" s="31">
        <v>7</v>
      </c>
      <c r="T228" s="31">
        <v>0</v>
      </c>
      <c r="U228" s="31">
        <v>0</v>
      </c>
      <c r="V228" s="31">
        <v>0</v>
      </c>
      <c r="W228" s="30"/>
      <c r="X228" s="614"/>
      <c r="Y228" s="11"/>
    </row>
    <row r="229" spans="1:25" ht="20.100000000000001" customHeight="1" x14ac:dyDescent="0.2">
      <c r="A229" s="621" t="s">
        <v>1056</v>
      </c>
      <c r="B229" s="24" t="s">
        <v>1057</v>
      </c>
      <c r="C229" s="25" t="s">
        <v>68</v>
      </c>
      <c r="D229" s="674" t="s">
        <v>1058</v>
      </c>
      <c r="E229" s="608"/>
      <c r="F229" s="33"/>
      <c r="G229" s="69"/>
      <c r="H229" s="33"/>
      <c r="I229" s="37"/>
      <c r="J229" s="37"/>
      <c r="K229" s="37"/>
      <c r="L229" s="37"/>
      <c r="M229" s="69"/>
      <c r="N229" s="69"/>
      <c r="O229" s="46">
        <v>0.81300000000000006</v>
      </c>
      <c r="P229" s="29" t="s">
        <v>1059</v>
      </c>
      <c r="Q229" s="30">
        <v>1.1000000000000001</v>
      </c>
      <c r="R229" s="30" t="s">
        <v>1060</v>
      </c>
      <c r="S229" s="31">
        <v>6</v>
      </c>
      <c r="T229" s="31">
        <v>0</v>
      </c>
      <c r="U229" s="31">
        <v>0</v>
      </c>
      <c r="V229" s="31">
        <v>0</v>
      </c>
      <c r="W229" s="30"/>
      <c r="X229" s="614"/>
      <c r="Y229" s="11"/>
    </row>
    <row r="230" spans="1:25" ht="20.100000000000001" customHeight="1" x14ac:dyDescent="0.2">
      <c r="A230" s="621" t="s">
        <v>1062</v>
      </c>
      <c r="B230" s="24" t="s">
        <v>1063</v>
      </c>
      <c r="C230" s="25" t="s">
        <v>68</v>
      </c>
      <c r="D230" s="674" t="s">
        <v>1064</v>
      </c>
      <c r="E230" s="608"/>
      <c r="F230" s="33"/>
      <c r="G230" s="69"/>
      <c r="H230" s="33"/>
      <c r="I230" s="37"/>
      <c r="J230" s="37"/>
      <c r="K230" s="37"/>
      <c r="L230" s="37"/>
      <c r="M230" s="69"/>
      <c r="N230" s="69"/>
      <c r="O230" s="46">
        <v>53.174000000000007</v>
      </c>
      <c r="P230" s="29" t="s">
        <v>1065</v>
      </c>
      <c r="Q230" s="30">
        <v>12.3</v>
      </c>
      <c r="R230" s="30" t="s">
        <v>1066</v>
      </c>
      <c r="S230" s="31">
        <v>21</v>
      </c>
      <c r="T230" s="31">
        <v>3</v>
      </c>
      <c r="U230" s="31">
        <v>3</v>
      </c>
      <c r="V230" s="31">
        <v>0</v>
      </c>
      <c r="W230" s="30"/>
      <c r="X230" s="614"/>
      <c r="Y230" s="11"/>
    </row>
    <row r="231" spans="1:25" ht="20.100000000000001" customHeight="1" x14ac:dyDescent="0.2">
      <c r="A231" s="621" t="s">
        <v>1067</v>
      </c>
      <c r="B231" s="24" t="s">
        <v>1068</v>
      </c>
      <c r="C231" s="25" t="s">
        <v>68</v>
      </c>
      <c r="D231" s="674" t="s">
        <v>1069</v>
      </c>
      <c r="E231" s="608"/>
      <c r="F231" s="33"/>
      <c r="G231" s="69"/>
      <c r="H231" s="33"/>
      <c r="I231" s="37"/>
      <c r="J231" s="37"/>
      <c r="K231" s="37"/>
      <c r="L231" s="37"/>
      <c r="M231" s="69"/>
      <c r="N231" s="69"/>
      <c r="O231" s="46">
        <v>34.308</v>
      </c>
      <c r="P231" s="29" t="s">
        <v>1070</v>
      </c>
      <c r="Q231" s="30"/>
      <c r="R231" s="30"/>
      <c r="S231" s="31"/>
      <c r="T231" s="31"/>
      <c r="U231" s="31"/>
      <c r="V231" s="31"/>
      <c r="W231" s="30"/>
      <c r="X231" s="614"/>
      <c r="Y231" s="11"/>
    </row>
    <row r="232" spans="1:25" ht="20.100000000000001" customHeight="1" x14ac:dyDescent="0.2">
      <c r="A232" s="621" t="s">
        <v>1071</v>
      </c>
      <c r="B232" s="24" t="s">
        <v>1072</v>
      </c>
      <c r="C232" s="25" t="s">
        <v>68</v>
      </c>
      <c r="D232" s="674" t="s">
        <v>1073</v>
      </c>
      <c r="E232" s="608"/>
      <c r="F232" s="33"/>
      <c r="G232" s="69"/>
      <c r="H232" s="33"/>
      <c r="I232" s="37"/>
      <c r="J232" s="37"/>
      <c r="K232" s="37"/>
      <c r="L232" s="37"/>
      <c r="M232" s="69"/>
      <c r="N232" s="69"/>
      <c r="O232" s="46">
        <v>7.5350000000000001</v>
      </c>
      <c r="P232" s="29" t="s">
        <v>1074</v>
      </c>
      <c r="Q232" s="30"/>
      <c r="R232" s="30"/>
      <c r="S232" s="31"/>
      <c r="T232" s="31"/>
      <c r="U232" s="31"/>
      <c r="V232" s="31"/>
      <c r="W232" s="30"/>
      <c r="X232" s="614"/>
      <c r="Y232" s="11"/>
    </row>
    <row r="233" spans="1:25" ht="20.100000000000001" customHeight="1" x14ac:dyDescent="0.2">
      <c r="A233" s="621" t="s">
        <v>1075</v>
      </c>
      <c r="B233" s="24" t="s">
        <v>1076</v>
      </c>
      <c r="C233" s="25" t="s">
        <v>68</v>
      </c>
      <c r="D233" s="674" t="s">
        <v>1077</v>
      </c>
      <c r="E233" s="608"/>
      <c r="F233" s="33"/>
      <c r="G233" s="69"/>
      <c r="H233" s="33"/>
      <c r="I233" s="37"/>
      <c r="J233" s="37"/>
      <c r="K233" s="37"/>
      <c r="L233" s="37"/>
      <c r="M233" s="69"/>
      <c r="N233" s="69"/>
      <c r="O233" s="46">
        <v>6.346000000000001</v>
      </c>
      <c r="P233" s="29" t="s">
        <v>1078</v>
      </c>
      <c r="Q233" s="30"/>
      <c r="R233" s="30"/>
      <c r="S233" s="31"/>
      <c r="T233" s="31"/>
      <c r="U233" s="31"/>
      <c r="V233" s="31"/>
      <c r="W233" s="30"/>
      <c r="X233" s="614"/>
      <c r="Y233" s="11"/>
    </row>
    <row r="234" spans="1:25" ht="20.100000000000001" customHeight="1" x14ac:dyDescent="0.2">
      <c r="A234" s="621" t="s">
        <v>1079</v>
      </c>
      <c r="B234" s="24" t="s">
        <v>1080</v>
      </c>
      <c r="C234" s="25" t="s">
        <v>68</v>
      </c>
      <c r="D234" s="674" t="s">
        <v>1081</v>
      </c>
      <c r="E234" s="608"/>
      <c r="F234" s="33"/>
      <c r="G234" s="69"/>
      <c r="H234" s="33"/>
      <c r="I234" s="37"/>
      <c r="J234" s="37"/>
      <c r="K234" s="37"/>
      <c r="L234" s="37"/>
      <c r="M234" s="69"/>
      <c r="N234" s="69"/>
      <c r="O234" s="46">
        <v>3.7810000000000001</v>
      </c>
      <c r="P234" s="29" t="s">
        <v>1082</v>
      </c>
      <c r="Q234" s="30">
        <v>3.1</v>
      </c>
      <c r="R234" s="30" t="s">
        <v>1083</v>
      </c>
      <c r="S234" s="31">
        <v>8</v>
      </c>
      <c r="T234" s="31">
        <v>0</v>
      </c>
      <c r="U234" s="31">
        <v>2</v>
      </c>
      <c r="V234" s="31">
        <v>0</v>
      </c>
      <c r="W234" s="30"/>
      <c r="X234" s="614"/>
      <c r="Y234" s="11"/>
    </row>
    <row r="235" spans="1:25" s="2" customFormat="1" ht="20.100000000000001" customHeight="1" x14ac:dyDescent="0.2">
      <c r="A235" s="621" t="s">
        <v>1084</v>
      </c>
      <c r="B235" s="24" t="s">
        <v>1085</v>
      </c>
      <c r="C235" s="90" t="s">
        <v>68</v>
      </c>
      <c r="D235" s="674" t="s">
        <v>1086</v>
      </c>
      <c r="E235" s="663"/>
      <c r="F235" s="82"/>
      <c r="G235" s="51"/>
      <c r="H235" s="82"/>
      <c r="I235" s="50"/>
      <c r="J235" s="50"/>
      <c r="K235" s="50"/>
      <c r="L235" s="50"/>
      <c r="M235" s="51"/>
      <c r="N235" s="51"/>
      <c r="O235" s="46">
        <v>31.006999999999998</v>
      </c>
      <c r="P235" s="28" t="s">
        <v>1087</v>
      </c>
      <c r="Q235" s="46">
        <v>19.100000000000001</v>
      </c>
      <c r="R235" s="46" t="s">
        <v>1088</v>
      </c>
      <c r="S235" s="47">
        <v>63</v>
      </c>
      <c r="T235" s="47">
        <v>7</v>
      </c>
      <c r="U235" s="47">
        <v>10</v>
      </c>
      <c r="V235" s="47">
        <v>0</v>
      </c>
      <c r="W235" s="46"/>
      <c r="X235" s="617"/>
    </row>
    <row r="236" spans="1:25" ht="20.100000000000001" customHeight="1" x14ac:dyDescent="0.2">
      <c r="A236" s="621" t="s">
        <v>1089</v>
      </c>
      <c r="B236" s="24" t="s">
        <v>1090</v>
      </c>
      <c r="C236" s="25" t="s">
        <v>68</v>
      </c>
      <c r="D236" s="674" t="s">
        <v>1091</v>
      </c>
      <c r="E236" s="608"/>
      <c r="F236" s="33"/>
      <c r="G236" s="69"/>
      <c r="H236" s="33"/>
      <c r="I236" s="37"/>
      <c r="J236" s="37"/>
      <c r="K236" s="37"/>
      <c r="L236" s="37"/>
      <c r="M236" s="69"/>
      <c r="N236" s="69"/>
      <c r="O236" s="46">
        <v>26.094000000000001</v>
      </c>
      <c r="P236" s="29" t="s">
        <v>1092</v>
      </c>
      <c r="Q236" s="30">
        <v>15.7</v>
      </c>
      <c r="R236" s="30" t="s">
        <v>1093</v>
      </c>
      <c r="S236" s="31">
        <v>22</v>
      </c>
      <c r="T236" s="31">
        <v>9</v>
      </c>
      <c r="U236" s="31">
        <v>42</v>
      </c>
      <c r="V236" s="31">
        <v>0</v>
      </c>
      <c r="W236" s="30"/>
      <c r="X236" s="614"/>
      <c r="Y236" s="11"/>
    </row>
    <row r="237" spans="1:25" ht="20.100000000000001" customHeight="1" x14ac:dyDescent="0.2">
      <c r="A237" s="621" t="s">
        <v>1094</v>
      </c>
      <c r="B237" s="24" t="s">
        <v>1095</v>
      </c>
      <c r="C237" s="25" t="s">
        <v>68</v>
      </c>
      <c r="D237" s="674" t="s">
        <v>1096</v>
      </c>
      <c r="E237" s="608"/>
      <c r="F237" s="33"/>
      <c r="G237" s="69"/>
      <c r="H237" s="33"/>
      <c r="I237" s="37"/>
      <c r="J237" s="37"/>
      <c r="K237" s="37"/>
      <c r="L237" s="37"/>
      <c r="M237" s="69"/>
      <c r="N237" s="69"/>
      <c r="O237" s="46">
        <v>16.456999999999997</v>
      </c>
      <c r="P237" s="29" t="s">
        <v>1097</v>
      </c>
      <c r="Q237" s="30"/>
      <c r="R237" s="30"/>
      <c r="S237" s="31"/>
      <c r="T237" s="31"/>
      <c r="U237" s="31"/>
      <c r="V237" s="31"/>
      <c r="W237" s="30"/>
      <c r="X237" s="614"/>
      <c r="Y237" s="11"/>
    </row>
    <row r="238" spans="1:25" ht="20.100000000000001" customHeight="1" x14ac:dyDescent="0.2">
      <c r="A238" s="621" t="s">
        <v>1098</v>
      </c>
      <c r="B238" s="24" t="s">
        <v>1099</v>
      </c>
      <c r="C238" s="25" t="s">
        <v>1100</v>
      </c>
      <c r="D238" s="674" t="s">
        <v>1101</v>
      </c>
      <c r="E238" s="611">
        <v>27.148000000000003</v>
      </c>
      <c r="F238" s="59" t="s">
        <v>1103</v>
      </c>
      <c r="G238" s="61">
        <v>0</v>
      </c>
      <c r="H238" s="59">
        <v>0</v>
      </c>
      <c r="I238" s="60"/>
      <c r="J238" s="60"/>
      <c r="K238" s="60"/>
      <c r="L238" s="60"/>
      <c r="M238" s="61">
        <v>0</v>
      </c>
      <c r="N238" s="59">
        <v>0</v>
      </c>
      <c r="O238" s="46">
        <v>20.259</v>
      </c>
      <c r="P238" s="29" t="s">
        <v>1102</v>
      </c>
      <c r="Q238" s="48"/>
      <c r="R238" s="28"/>
      <c r="S238" s="48"/>
      <c r="T238" s="48"/>
      <c r="U238" s="48"/>
      <c r="V238" s="48"/>
      <c r="W238" s="28"/>
      <c r="X238" s="638"/>
      <c r="Y238" s="11"/>
    </row>
    <row r="239" spans="1:25" ht="20.100000000000001" customHeight="1" x14ac:dyDescent="0.2">
      <c r="A239" s="621" t="s">
        <v>1104</v>
      </c>
      <c r="B239" s="24" t="s">
        <v>1105</v>
      </c>
      <c r="C239" s="25" t="s">
        <v>68</v>
      </c>
      <c r="D239" s="674" t="s">
        <v>1106</v>
      </c>
      <c r="E239" s="608"/>
      <c r="F239" s="33"/>
      <c r="G239" s="69"/>
      <c r="H239" s="33"/>
      <c r="I239" s="37"/>
      <c r="J239" s="37"/>
      <c r="K239" s="37"/>
      <c r="L239" s="37"/>
      <c r="M239" s="69"/>
      <c r="N239" s="69"/>
      <c r="O239" s="46">
        <v>37.555</v>
      </c>
      <c r="P239" s="29" t="s">
        <v>1107</v>
      </c>
      <c r="Q239" s="30"/>
      <c r="R239" s="30"/>
      <c r="S239" s="31"/>
      <c r="T239" s="31"/>
      <c r="U239" s="31"/>
      <c r="V239" s="31"/>
      <c r="W239" s="30"/>
      <c r="X239" s="614"/>
      <c r="Y239" s="11"/>
    </row>
    <row r="240" spans="1:25" ht="20.100000000000001" customHeight="1" x14ac:dyDescent="0.2">
      <c r="A240" s="621" t="s">
        <v>1108</v>
      </c>
      <c r="B240" s="24" t="s">
        <v>1109</v>
      </c>
      <c r="C240" s="25" t="s">
        <v>68</v>
      </c>
      <c r="D240" s="674" t="s">
        <v>1110</v>
      </c>
      <c r="E240" s="608"/>
      <c r="F240" s="33"/>
      <c r="G240" s="69"/>
      <c r="H240" s="33"/>
      <c r="I240" s="37"/>
      <c r="J240" s="37"/>
      <c r="K240" s="37"/>
      <c r="L240" s="37"/>
      <c r="M240" s="69"/>
      <c r="N240" s="69"/>
      <c r="O240" s="46">
        <v>35.231000000000002</v>
      </c>
      <c r="P240" s="29" t="s">
        <v>1111</v>
      </c>
      <c r="Q240" s="30">
        <v>14</v>
      </c>
      <c r="R240" s="30" t="s">
        <v>1093</v>
      </c>
      <c r="S240" s="31">
        <v>32</v>
      </c>
      <c r="T240" s="31">
        <v>9</v>
      </c>
      <c r="U240" s="31">
        <v>19</v>
      </c>
      <c r="V240" s="31">
        <v>0</v>
      </c>
      <c r="W240" s="30"/>
      <c r="X240" s="614"/>
      <c r="Y240" s="11"/>
    </row>
    <row r="241" spans="1:25" ht="20.100000000000001" customHeight="1" x14ac:dyDescent="0.2">
      <c r="A241" s="621" t="s">
        <v>1112</v>
      </c>
      <c r="B241" s="24" t="s">
        <v>1113</v>
      </c>
      <c r="C241" s="25" t="s">
        <v>68</v>
      </c>
      <c r="D241" s="674" t="s">
        <v>1114</v>
      </c>
      <c r="E241" s="608"/>
      <c r="F241" s="33"/>
      <c r="G241" s="69"/>
      <c r="H241" s="33"/>
      <c r="I241" s="37"/>
      <c r="J241" s="37"/>
      <c r="K241" s="37"/>
      <c r="L241" s="37"/>
      <c r="M241" s="69"/>
      <c r="N241" s="69"/>
      <c r="O241" s="46">
        <v>32.796000000000006</v>
      </c>
      <c r="P241" s="29" t="s">
        <v>1115</v>
      </c>
      <c r="Q241" s="30"/>
      <c r="R241" s="30"/>
      <c r="S241" s="31"/>
      <c r="T241" s="31"/>
      <c r="U241" s="31"/>
      <c r="V241" s="31"/>
      <c r="W241" s="30"/>
      <c r="X241" s="614"/>
      <c r="Y241" s="11"/>
    </row>
    <row r="242" spans="1:25" ht="20.100000000000001" customHeight="1" x14ac:dyDescent="0.2">
      <c r="A242" s="621" t="s">
        <v>1116</v>
      </c>
      <c r="B242" s="24" t="s">
        <v>1117</v>
      </c>
      <c r="C242" s="25" t="s">
        <v>68</v>
      </c>
      <c r="D242" s="674" t="s">
        <v>1118</v>
      </c>
      <c r="E242" s="608"/>
      <c r="F242" s="33"/>
      <c r="G242" s="69"/>
      <c r="H242" s="33"/>
      <c r="I242" s="37"/>
      <c r="J242" s="37"/>
      <c r="K242" s="37"/>
      <c r="L242" s="37"/>
      <c r="M242" s="69"/>
      <c r="N242" s="69"/>
      <c r="O242" s="46">
        <v>16.538999999999998</v>
      </c>
      <c r="P242" s="29" t="s">
        <v>1119</v>
      </c>
      <c r="Q242" s="30">
        <v>2.2999999999999998</v>
      </c>
      <c r="R242" s="30" t="s">
        <v>1120</v>
      </c>
      <c r="S242" s="31">
        <v>6</v>
      </c>
      <c r="T242" s="31">
        <v>3</v>
      </c>
      <c r="U242" s="31">
        <v>5</v>
      </c>
      <c r="V242" s="31">
        <v>0</v>
      </c>
      <c r="W242" s="30"/>
      <c r="X242" s="614"/>
      <c r="Y242" s="11"/>
    </row>
    <row r="243" spans="1:25" ht="44.25" customHeight="1" x14ac:dyDescent="0.2">
      <c r="A243" s="621" t="s">
        <v>1121</v>
      </c>
      <c r="B243" s="498" t="s">
        <v>1122</v>
      </c>
      <c r="C243" s="25" t="s">
        <v>210</v>
      </c>
      <c r="D243" s="674" t="s">
        <v>1123</v>
      </c>
      <c r="E243" s="611">
        <v>20.271999999999998</v>
      </c>
      <c r="F243" s="71" t="s">
        <v>1125</v>
      </c>
      <c r="G243" s="79">
        <v>0</v>
      </c>
      <c r="H243" s="71"/>
      <c r="I243" s="78">
        <v>0</v>
      </c>
      <c r="J243" s="78">
        <v>0</v>
      </c>
      <c r="K243" s="78">
        <v>0</v>
      </c>
      <c r="L243" s="78">
        <v>0</v>
      </c>
      <c r="M243" s="79">
        <v>10.135999999999999</v>
      </c>
      <c r="N243" s="79"/>
      <c r="O243" s="46">
        <v>12.214</v>
      </c>
      <c r="P243" s="29" t="s">
        <v>1124</v>
      </c>
      <c r="Q243" s="62">
        <v>0</v>
      </c>
      <c r="R243" s="62">
        <v>0</v>
      </c>
      <c r="S243" s="63">
        <v>0</v>
      </c>
      <c r="T243" s="63">
        <v>0</v>
      </c>
      <c r="U243" s="63">
        <v>0</v>
      </c>
      <c r="V243" s="63">
        <v>0</v>
      </c>
      <c r="W243" s="62">
        <v>6.1070000000000002</v>
      </c>
      <c r="X243" s="630"/>
      <c r="Y243" s="11"/>
    </row>
    <row r="244" spans="1:25" ht="89.25" customHeight="1" x14ac:dyDescent="0.2">
      <c r="A244" s="621" t="s">
        <v>1127</v>
      </c>
      <c r="B244" s="498" t="s">
        <v>1128</v>
      </c>
      <c r="C244" s="25" t="s">
        <v>210</v>
      </c>
      <c r="D244" s="674" t="s">
        <v>1129</v>
      </c>
      <c r="E244" s="609">
        <v>3.5</v>
      </c>
      <c r="F244" s="98" t="s">
        <v>1130</v>
      </c>
      <c r="G244" s="61"/>
      <c r="H244" s="98"/>
      <c r="I244" s="78">
        <v>0</v>
      </c>
      <c r="J244" s="78">
        <v>0</v>
      </c>
      <c r="K244" s="78">
        <v>0</v>
      </c>
      <c r="L244" s="78">
        <v>0</v>
      </c>
      <c r="M244" s="61">
        <v>3.5</v>
      </c>
      <c r="N244" s="61"/>
      <c r="O244" s="46">
        <v>18.518000000000001</v>
      </c>
      <c r="P244" s="117" t="s">
        <v>1786</v>
      </c>
      <c r="Q244" s="57">
        <v>0</v>
      </c>
      <c r="R244" s="57">
        <v>0</v>
      </c>
      <c r="S244" s="58">
        <v>0</v>
      </c>
      <c r="T244" s="58">
        <v>0</v>
      </c>
      <c r="U244" s="58">
        <v>0</v>
      </c>
      <c r="V244" s="58">
        <v>0</v>
      </c>
      <c r="W244" s="62">
        <v>9.2424999999999997</v>
      </c>
      <c r="X244" s="639"/>
      <c r="Y244" s="11"/>
    </row>
    <row r="245" spans="1:25" ht="31.5" x14ac:dyDescent="0.2">
      <c r="A245" s="621" t="s">
        <v>1131</v>
      </c>
      <c r="B245" s="498" t="s">
        <v>1132</v>
      </c>
      <c r="C245" s="25" t="s">
        <v>1133</v>
      </c>
      <c r="D245" s="674" t="s">
        <v>1134</v>
      </c>
      <c r="E245" s="611">
        <v>40.15</v>
      </c>
      <c r="F245" s="71" t="s">
        <v>1692</v>
      </c>
      <c r="G245" s="89">
        <v>0</v>
      </c>
      <c r="H245" s="71">
        <v>0</v>
      </c>
      <c r="I245" s="78">
        <v>0</v>
      </c>
      <c r="J245" s="78">
        <v>0</v>
      </c>
      <c r="K245" s="78">
        <v>0</v>
      </c>
      <c r="L245" s="78">
        <v>0</v>
      </c>
      <c r="M245" s="89">
        <v>1.9</v>
      </c>
      <c r="N245" s="71" t="s">
        <v>1693</v>
      </c>
      <c r="O245" s="46">
        <v>52.121000000000002</v>
      </c>
      <c r="P245" s="29" t="s">
        <v>1787</v>
      </c>
      <c r="Q245" s="57">
        <v>47.3</v>
      </c>
      <c r="R245" s="46" t="s">
        <v>1137</v>
      </c>
      <c r="S245" s="47">
        <v>81</v>
      </c>
      <c r="T245" s="47">
        <v>0</v>
      </c>
      <c r="U245" s="47">
        <v>5</v>
      </c>
      <c r="V245" s="47">
        <v>5</v>
      </c>
      <c r="W245" s="46"/>
      <c r="X245" s="620"/>
      <c r="Y245" s="11"/>
    </row>
    <row r="246" spans="1:25" ht="20.100000000000001" customHeight="1" x14ac:dyDescent="0.2">
      <c r="A246" s="621" t="s">
        <v>1139</v>
      </c>
      <c r="B246" s="24" t="s">
        <v>1140</v>
      </c>
      <c r="C246" s="25" t="s">
        <v>210</v>
      </c>
      <c r="D246" s="674" t="s">
        <v>1141</v>
      </c>
      <c r="E246" s="608"/>
      <c r="F246" s="33"/>
      <c r="G246" s="69"/>
      <c r="H246" s="33"/>
      <c r="I246" s="37"/>
      <c r="J246" s="37"/>
      <c r="K246" s="37"/>
      <c r="L246" s="37"/>
      <c r="M246" s="69"/>
      <c r="N246" s="69"/>
      <c r="O246" s="46">
        <v>58.289000000000001</v>
      </c>
      <c r="P246" s="29" t="s">
        <v>1142</v>
      </c>
      <c r="Q246" s="30">
        <v>55.8</v>
      </c>
      <c r="R246" s="30" t="s">
        <v>1143</v>
      </c>
      <c r="S246" s="31">
        <v>228</v>
      </c>
      <c r="T246" s="31">
        <v>0</v>
      </c>
      <c r="U246" s="31">
        <v>15</v>
      </c>
      <c r="V246" s="31">
        <v>16</v>
      </c>
      <c r="W246" s="30"/>
      <c r="X246" s="614"/>
      <c r="Y246" s="11"/>
    </row>
    <row r="247" spans="1:25" ht="19.5" customHeight="1" x14ac:dyDescent="0.2">
      <c r="A247" s="621" t="s">
        <v>1144</v>
      </c>
      <c r="B247" s="24" t="s">
        <v>1145</v>
      </c>
      <c r="C247" s="25" t="s">
        <v>210</v>
      </c>
      <c r="D247" s="674" t="s">
        <v>1146</v>
      </c>
      <c r="E247" s="608"/>
      <c r="F247" s="33"/>
      <c r="G247" s="69"/>
      <c r="H247" s="33"/>
      <c r="I247" s="37"/>
      <c r="J247" s="37"/>
      <c r="K247" s="37"/>
      <c r="L247" s="37"/>
      <c r="M247" s="69"/>
      <c r="N247" s="69"/>
      <c r="O247" s="46">
        <v>24.027000000000001</v>
      </c>
      <c r="P247" s="29" t="s">
        <v>1147</v>
      </c>
      <c r="Q247" s="57">
        <v>0</v>
      </c>
      <c r="R247" s="57">
        <v>0</v>
      </c>
      <c r="S247" s="58">
        <v>0</v>
      </c>
      <c r="T247" s="58">
        <v>0</v>
      </c>
      <c r="U247" s="58">
        <v>0</v>
      </c>
      <c r="V247" s="58">
        <v>0</v>
      </c>
      <c r="W247" s="62">
        <v>12.013500000000001</v>
      </c>
      <c r="X247" s="614"/>
      <c r="Y247" s="11"/>
    </row>
    <row r="248" spans="1:25" ht="53.25" customHeight="1" x14ac:dyDescent="0.2">
      <c r="A248" s="621">
        <v>1851</v>
      </c>
      <c r="B248" s="24" t="s">
        <v>1148</v>
      </c>
      <c r="C248" s="25" t="s">
        <v>1149</v>
      </c>
      <c r="D248" s="674" t="s">
        <v>1150</v>
      </c>
      <c r="E248" s="611">
        <v>63.776000000000003</v>
      </c>
      <c r="F248" s="76" t="s">
        <v>1756</v>
      </c>
      <c r="G248" s="87">
        <v>7.7</v>
      </c>
      <c r="H248" s="76" t="s">
        <v>1151</v>
      </c>
      <c r="I248" s="76">
        <v>13</v>
      </c>
      <c r="J248" s="76">
        <v>0</v>
      </c>
      <c r="K248" s="76">
        <v>0</v>
      </c>
      <c r="L248" s="76">
        <v>1</v>
      </c>
      <c r="M248" s="76">
        <v>29.954999999999998</v>
      </c>
      <c r="N248" s="76" t="s">
        <v>1757</v>
      </c>
      <c r="O248" s="592">
        <v>4.6459999999999937</v>
      </c>
      <c r="P248" s="482" t="s">
        <v>1755</v>
      </c>
      <c r="Q248" s="57">
        <v>0</v>
      </c>
      <c r="R248" s="57">
        <v>0</v>
      </c>
      <c r="S248" s="58">
        <v>0</v>
      </c>
      <c r="T248" s="58">
        <v>0</v>
      </c>
      <c r="U248" s="58">
        <v>0</v>
      </c>
      <c r="V248" s="58">
        <v>0</v>
      </c>
      <c r="W248" s="28">
        <v>2.3229999999999968</v>
      </c>
      <c r="X248" s="618"/>
      <c r="Y248" s="11"/>
    </row>
    <row r="249" spans="1:25" ht="20.100000000000001" customHeight="1" x14ac:dyDescent="0.2">
      <c r="A249" s="621" t="s">
        <v>1152</v>
      </c>
      <c r="B249" s="24" t="s">
        <v>1153</v>
      </c>
      <c r="C249" s="25" t="s">
        <v>731</v>
      </c>
      <c r="D249" s="674" t="s">
        <v>1154</v>
      </c>
      <c r="E249" s="611">
        <v>22.231000000000002</v>
      </c>
      <c r="F249" s="59" t="s">
        <v>1155</v>
      </c>
      <c r="G249" s="61">
        <f>22.9-0.583</f>
        <v>22.317</v>
      </c>
      <c r="H249" s="76" t="s">
        <v>1156</v>
      </c>
      <c r="I249" s="610">
        <v>79</v>
      </c>
      <c r="J249" s="610">
        <v>0</v>
      </c>
      <c r="K249" s="610">
        <v>76</v>
      </c>
      <c r="L249" s="610">
        <v>0</v>
      </c>
      <c r="M249" s="76">
        <v>0</v>
      </c>
      <c r="N249" s="76">
        <v>0</v>
      </c>
      <c r="O249" s="80"/>
      <c r="P249" s="27"/>
      <c r="Q249" s="91"/>
      <c r="R249" s="27"/>
      <c r="S249" s="92"/>
      <c r="T249" s="92"/>
      <c r="U249" s="92"/>
      <c r="V249" s="92"/>
      <c r="W249" s="91"/>
      <c r="X249" s="631"/>
      <c r="Y249" s="11"/>
    </row>
    <row r="250" spans="1:25" ht="20.100000000000001" customHeight="1" x14ac:dyDescent="0.2">
      <c r="A250" s="621" t="s">
        <v>1157</v>
      </c>
      <c r="B250" s="24" t="s">
        <v>1158</v>
      </c>
      <c r="C250" s="25" t="s">
        <v>731</v>
      </c>
      <c r="D250" s="674" t="s">
        <v>1159</v>
      </c>
      <c r="E250" s="611">
        <v>31.204000000000001</v>
      </c>
      <c r="F250" s="59" t="s">
        <v>1160</v>
      </c>
      <c r="G250" s="71">
        <v>27.2</v>
      </c>
      <c r="H250" s="76" t="s">
        <v>1161</v>
      </c>
      <c r="I250" s="610">
        <v>103</v>
      </c>
      <c r="J250" s="610">
        <v>0</v>
      </c>
      <c r="K250" s="610">
        <v>90</v>
      </c>
      <c r="L250" s="610">
        <v>0</v>
      </c>
      <c r="M250" s="339">
        <f>67.577-66.3</f>
        <v>1.277000000000001</v>
      </c>
      <c r="N250" s="76" t="s">
        <v>1162</v>
      </c>
      <c r="O250" s="80"/>
      <c r="P250" s="27"/>
      <c r="Q250" s="91"/>
      <c r="R250" s="91"/>
      <c r="S250" s="92"/>
      <c r="T250" s="92"/>
      <c r="U250" s="92"/>
      <c r="V250" s="92"/>
      <c r="W250" s="91"/>
      <c r="X250" s="631"/>
      <c r="Y250" s="11"/>
    </row>
    <row r="251" spans="1:25" ht="20.100000000000001" customHeight="1" x14ac:dyDescent="0.2">
      <c r="A251" s="621" t="s">
        <v>1163</v>
      </c>
      <c r="B251" s="24" t="s">
        <v>1164</v>
      </c>
      <c r="C251" s="25" t="s">
        <v>627</v>
      </c>
      <c r="D251" s="674" t="s">
        <v>1165</v>
      </c>
      <c r="E251" s="611">
        <v>5.3890000000000002</v>
      </c>
      <c r="F251" s="71" t="s">
        <v>1166</v>
      </c>
      <c r="G251" s="79"/>
      <c r="H251" s="76"/>
      <c r="I251" s="76"/>
      <c r="J251" s="76"/>
      <c r="K251" s="76"/>
      <c r="L251" s="76"/>
      <c r="M251" s="76">
        <v>2.7</v>
      </c>
      <c r="N251" s="76" t="s">
        <v>1166</v>
      </c>
      <c r="O251" s="80"/>
      <c r="P251" s="27"/>
      <c r="Q251" s="69"/>
      <c r="R251" s="27"/>
      <c r="S251" s="37"/>
      <c r="T251" s="37"/>
      <c r="U251" s="37"/>
      <c r="V251" s="37"/>
      <c r="W251" s="69"/>
      <c r="X251" s="629"/>
      <c r="Y251" s="11"/>
    </row>
    <row r="252" spans="1:25" ht="20.100000000000001" customHeight="1" x14ac:dyDescent="0.2">
      <c r="A252" s="621" t="s">
        <v>1167</v>
      </c>
      <c r="B252" s="24" t="s">
        <v>1168</v>
      </c>
      <c r="C252" s="25" t="s">
        <v>627</v>
      </c>
      <c r="D252" s="674" t="s">
        <v>1169</v>
      </c>
      <c r="E252" s="608"/>
      <c r="F252" s="33"/>
      <c r="G252" s="69"/>
      <c r="H252" s="33"/>
      <c r="I252" s="37"/>
      <c r="J252" s="37"/>
      <c r="K252" s="37"/>
      <c r="L252" s="37"/>
      <c r="M252" s="69"/>
      <c r="N252" s="69"/>
      <c r="O252" s="30">
        <v>2.3640000000000043</v>
      </c>
      <c r="P252" s="29" t="s">
        <v>1170</v>
      </c>
      <c r="Q252" s="94"/>
      <c r="R252" s="30"/>
      <c r="S252" s="31"/>
      <c r="T252" s="31"/>
      <c r="U252" s="31"/>
      <c r="V252" s="31"/>
      <c r="W252" s="94">
        <v>1.2</v>
      </c>
      <c r="X252" s="614" t="s">
        <v>1170</v>
      </c>
      <c r="Y252" s="11"/>
    </row>
    <row r="253" spans="1:25" ht="20.100000000000001" customHeight="1" x14ac:dyDescent="0.2">
      <c r="A253" s="621" t="s">
        <v>1171</v>
      </c>
      <c r="B253" s="24" t="s">
        <v>1172</v>
      </c>
      <c r="C253" s="25" t="s">
        <v>627</v>
      </c>
      <c r="D253" s="674" t="s">
        <v>1173</v>
      </c>
      <c r="E253" s="608"/>
      <c r="F253" s="33"/>
      <c r="G253" s="69"/>
      <c r="H253" s="33"/>
      <c r="I253" s="37"/>
      <c r="J253" s="37"/>
      <c r="K253" s="37"/>
      <c r="L253" s="37"/>
      <c r="M253" s="69"/>
      <c r="N253" s="69"/>
      <c r="O253" s="30">
        <v>2.3520000000000039</v>
      </c>
      <c r="P253" s="29" t="s">
        <v>1174</v>
      </c>
      <c r="Q253" s="94"/>
      <c r="R253" s="30"/>
      <c r="S253" s="31"/>
      <c r="T253" s="31"/>
      <c r="U253" s="31"/>
      <c r="V253" s="31"/>
      <c r="W253" s="94">
        <v>1.2</v>
      </c>
      <c r="X253" s="614" t="s">
        <v>1174</v>
      </c>
      <c r="Y253" s="11"/>
    </row>
    <row r="254" spans="1:25" ht="20.100000000000001" customHeight="1" x14ac:dyDescent="0.2">
      <c r="A254" s="621" t="s">
        <v>1175</v>
      </c>
      <c r="B254" s="498" t="s">
        <v>1799</v>
      </c>
      <c r="C254" s="25" t="s">
        <v>627</v>
      </c>
      <c r="D254" s="674" t="s">
        <v>1176</v>
      </c>
      <c r="E254" s="611">
        <v>1.7230000000000001</v>
      </c>
      <c r="F254" s="71" t="s">
        <v>1178</v>
      </c>
      <c r="G254" s="74"/>
      <c r="H254" s="79"/>
      <c r="I254" s="79"/>
      <c r="J254" s="79"/>
      <c r="K254" s="79"/>
      <c r="L254" s="79"/>
      <c r="M254" s="79">
        <v>0.9</v>
      </c>
      <c r="N254" s="79" t="s">
        <v>1179</v>
      </c>
      <c r="O254" s="30">
        <v>2.597</v>
      </c>
      <c r="P254" s="29" t="s">
        <v>1177</v>
      </c>
      <c r="Q254" s="94"/>
      <c r="R254" s="30"/>
      <c r="S254" s="30"/>
      <c r="T254" s="30"/>
      <c r="U254" s="30"/>
      <c r="V254" s="30"/>
      <c r="W254" s="30">
        <v>1.1000000000000001</v>
      </c>
      <c r="X254" s="614" t="s">
        <v>1177</v>
      </c>
      <c r="Y254" s="11"/>
    </row>
    <row r="255" spans="1:25" ht="20.100000000000001" customHeight="1" x14ac:dyDescent="0.2">
      <c r="A255" s="621" t="s">
        <v>1180</v>
      </c>
      <c r="B255" s="24" t="s">
        <v>1181</v>
      </c>
      <c r="C255" s="25" t="s">
        <v>627</v>
      </c>
      <c r="D255" s="674" t="s">
        <v>1182</v>
      </c>
      <c r="E255" s="608"/>
      <c r="F255" s="33"/>
      <c r="G255" s="69"/>
      <c r="H255" s="33"/>
      <c r="I255" s="37"/>
      <c r="J255" s="37"/>
      <c r="K255" s="37"/>
      <c r="L255" s="37"/>
      <c r="M255" s="69"/>
      <c r="N255" s="69"/>
      <c r="O255" s="30">
        <v>6.3040000000000003</v>
      </c>
      <c r="P255" s="29" t="s">
        <v>1183</v>
      </c>
      <c r="Q255" s="94"/>
      <c r="R255" s="30"/>
      <c r="S255" s="30"/>
      <c r="T255" s="30"/>
      <c r="U255" s="30"/>
      <c r="V255" s="30"/>
      <c r="W255" s="30">
        <v>3.2</v>
      </c>
      <c r="X255" s="614" t="s">
        <v>1183</v>
      </c>
      <c r="Y255" s="11"/>
    </row>
    <row r="256" spans="1:25" ht="40.5" customHeight="1" x14ac:dyDescent="0.2">
      <c r="A256" s="621" t="s">
        <v>1184</v>
      </c>
      <c r="B256" s="24" t="s">
        <v>1185</v>
      </c>
      <c r="C256" s="25" t="s">
        <v>627</v>
      </c>
      <c r="D256" s="674" t="s">
        <v>1186</v>
      </c>
      <c r="E256" s="668"/>
      <c r="F256" s="412"/>
      <c r="G256" s="411"/>
      <c r="H256" s="412"/>
      <c r="I256" s="413"/>
      <c r="J256" s="413"/>
      <c r="K256" s="413"/>
      <c r="L256" s="413"/>
      <c r="M256" s="411"/>
      <c r="N256" s="411"/>
      <c r="O256" s="46">
        <v>1.3749999999999931</v>
      </c>
      <c r="P256" s="40" t="s">
        <v>1187</v>
      </c>
      <c r="Q256" s="119"/>
      <c r="R256" s="41"/>
      <c r="S256" s="42"/>
      <c r="T256" s="42"/>
      <c r="U256" s="42"/>
      <c r="V256" s="42"/>
      <c r="W256" s="119">
        <v>0.7</v>
      </c>
      <c r="X256" s="614" t="s">
        <v>1763</v>
      </c>
      <c r="Y256" s="11"/>
    </row>
    <row r="257" spans="1:25" ht="20.100000000000001" customHeight="1" x14ac:dyDescent="0.2">
      <c r="A257" s="621" t="s">
        <v>1188</v>
      </c>
      <c r="B257" s="24" t="s">
        <v>1189</v>
      </c>
      <c r="C257" s="25" t="s">
        <v>627</v>
      </c>
      <c r="D257" s="674" t="s">
        <v>1190</v>
      </c>
      <c r="E257" s="608"/>
      <c r="F257" s="33"/>
      <c r="G257" s="69"/>
      <c r="H257" s="33"/>
      <c r="I257" s="37"/>
      <c r="J257" s="37"/>
      <c r="K257" s="37"/>
      <c r="L257" s="37"/>
      <c r="M257" s="69"/>
      <c r="N257" s="69"/>
      <c r="O257" s="30">
        <v>0.88499999999999091</v>
      </c>
      <c r="P257" s="29" t="s">
        <v>1191</v>
      </c>
      <c r="Q257" s="94"/>
      <c r="R257" s="30"/>
      <c r="S257" s="31"/>
      <c r="T257" s="31"/>
      <c r="U257" s="31"/>
      <c r="V257" s="31"/>
      <c r="W257" s="94">
        <v>0.5</v>
      </c>
      <c r="X257" s="614" t="s">
        <v>1191</v>
      </c>
      <c r="Y257" s="11"/>
    </row>
    <row r="258" spans="1:25" ht="20.100000000000001" customHeight="1" x14ac:dyDescent="0.2">
      <c r="A258" s="621" t="s">
        <v>1192</v>
      </c>
      <c r="B258" s="24" t="s">
        <v>1193</v>
      </c>
      <c r="C258" s="25" t="s">
        <v>627</v>
      </c>
      <c r="D258" s="674" t="s">
        <v>1194</v>
      </c>
      <c r="E258" s="611">
        <v>0.35199999999999998</v>
      </c>
      <c r="F258" s="71" t="s">
        <v>1195</v>
      </c>
      <c r="G258" s="79"/>
      <c r="H258" s="71"/>
      <c r="I258" s="78"/>
      <c r="J258" s="78"/>
      <c r="K258" s="78"/>
      <c r="L258" s="78"/>
      <c r="M258" s="79">
        <v>0.2</v>
      </c>
      <c r="N258" s="79"/>
      <c r="O258" s="80"/>
      <c r="P258" s="27"/>
      <c r="Q258" s="69"/>
      <c r="R258" s="27"/>
      <c r="S258" s="37"/>
      <c r="T258" s="37"/>
      <c r="U258" s="37"/>
      <c r="V258" s="37"/>
      <c r="W258" s="69"/>
      <c r="X258" s="629"/>
      <c r="Y258" s="11"/>
    </row>
    <row r="259" spans="1:25" ht="63.75" customHeight="1" x14ac:dyDescent="0.2">
      <c r="A259" s="621" t="s">
        <v>1196</v>
      </c>
      <c r="B259" s="24" t="s">
        <v>1197</v>
      </c>
      <c r="C259" s="25" t="s">
        <v>1198</v>
      </c>
      <c r="D259" s="674" t="s">
        <v>1199</v>
      </c>
      <c r="E259" s="609">
        <v>42.317999999999998</v>
      </c>
      <c r="F259" s="98" t="s">
        <v>1834</v>
      </c>
      <c r="G259" s="61">
        <v>0</v>
      </c>
      <c r="H259" s="98">
        <v>0</v>
      </c>
      <c r="I259" s="60">
        <v>0</v>
      </c>
      <c r="J259" s="60">
        <v>0</v>
      </c>
      <c r="K259" s="60">
        <v>0</v>
      </c>
      <c r="L259" s="60">
        <v>0</v>
      </c>
      <c r="M259" s="61">
        <v>0</v>
      </c>
      <c r="N259" s="61"/>
      <c r="O259" s="46">
        <v>69.325999999999993</v>
      </c>
      <c r="P259" s="120" t="s">
        <v>1825</v>
      </c>
      <c r="Q259" s="121"/>
      <c r="R259" s="121"/>
      <c r="S259" s="122"/>
      <c r="T259" s="122"/>
      <c r="U259" s="122"/>
      <c r="V259" s="122"/>
      <c r="W259" s="28">
        <v>24.742000000000001</v>
      </c>
      <c r="X259" s="640" t="s">
        <v>1826</v>
      </c>
      <c r="Y259" s="11"/>
    </row>
    <row r="260" spans="1:25" ht="32.25" customHeight="1" x14ac:dyDescent="0.2">
      <c r="A260" s="621" t="s">
        <v>1201</v>
      </c>
      <c r="B260" s="498" t="s">
        <v>1202</v>
      </c>
      <c r="C260" s="25" t="s">
        <v>1203</v>
      </c>
      <c r="D260" s="674" t="s">
        <v>1204</v>
      </c>
      <c r="E260" s="611">
        <v>78.300000000000011</v>
      </c>
      <c r="F260" s="72" t="s">
        <v>1767</v>
      </c>
      <c r="G260" s="74"/>
      <c r="H260" s="72"/>
      <c r="I260" s="73"/>
      <c r="J260" s="73"/>
      <c r="K260" s="73"/>
      <c r="L260" s="73"/>
      <c r="M260" s="74">
        <v>53.2</v>
      </c>
      <c r="N260" s="72" t="s">
        <v>1801</v>
      </c>
      <c r="O260" s="46">
        <f>5.2-0.867+87.582-83.5</f>
        <v>8.414999999999992</v>
      </c>
      <c r="P260" s="40" t="s">
        <v>1206</v>
      </c>
      <c r="Q260" s="119"/>
      <c r="R260" s="121"/>
      <c r="S260" s="42"/>
      <c r="T260" s="42"/>
      <c r="U260" s="42"/>
      <c r="V260" s="42"/>
      <c r="W260" s="119">
        <v>15</v>
      </c>
      <c r="X260" s="615" t="s">
        <v>1207</v>
      </c>
      <c r="Y260" s="11"/>
    </row>
    <row r="261" spans="1:25" ht="21" x14ac:dyDescent="0.2">
      <c r="A261" s="621" t="s">
        <v>1209</v>
      </c>
      <c r="B261" s="24" t="s">
        <v>1210</v>
      </c>
      <c r="C261" s="25" t="s">
        <v>811</v>
      </c>
      <c r="D261" s="674" t="s">
        <v>1211</v>
      </c>
      <c r="E261" s="609">
        <v>17.199999999999989</v>
      </c>
      <c r="F261" s="124" t="s">
        <v>1214</v>
      </c>
      <c r="G261" s="73"/>
      <c r="H261" s="124"/>
      <c r="I261" s="125"/>
      <c r="J261" s="125"/>
      <c r="K261" s="125"/>
      <c r="L261" s="125"/>
      <c r="M261" s="126">
        <v>19</v>
      </c>
      <c r="N261" s="124" t="s">
        <v>1732</v>
      </c>
      <c r="O261" s="46">
        <v>3.67</v>
      </c>
      <c r="P261" s="29" t="s">
        <v>1213</v>
      </c>
      <c r="Q261" s="30"/>
      <c r="R261" s="121"/>
      <c r="S261" s="31"/>
      <c r="T261" s="31"/>
      <c r="U261" s="31"/>
      <c r="V261" s="489"/>
      <c r="W261" s="29">
        <v>1.8</v>
      </c>
      <c r="X261" s="614" t="s">
        <v>1213</v>
      </c>
      <c r="Y261" s="11"/>
    </row>
    <row r="262" spans="1:25" ht="20.100000000000001" customHeight="1" x14ac:dyDescent="0.2">
      <c r="A262" s="621" t="s">
        <v>1215</v>
      </c>
      <c r="B262" s="24" t="s">
        <v>1216</v>
      </c>
      <c r="C262" s="25" t="s">
        <v>848</v>
      </c>
      <c r="D262" s="674" t="s">
        <v>1217</v>
      </c>
      <c r="E262" s="611">
        <v>2.8410000000000082</v>
      </c>
      <c r="F262" s="71" t="s">
        <v>1219</v>
      </c>
      <c r="G262" s="79"/>
      <c r="H262" s="71"/>
      <c r="I262" s="78"/>
      <c r="J262" s="78"/>
      <c r="K262" s="78"/>
      <c r="L262" s="78"/>
      <c r="M262" s="79">
        <v>1.5</v>
      </c>
      <c r="N262" s="79" t="s">
        <v>1709</v>
      </c>
      <c r="O262" s="46">
        <v>0.30299999999999727</v>
      </c>
      <c r="P262" s="29" t="s">
        <v>1218</v>
      </c>
      <c r="Q262" s="29"/>
      <c r="R262" s="121"/>
      <c r="S262" s="68"/>
      <c r="T262" s="68"/>
      <c r="U262" s="68"/>
      <c r="V262" s="68"/>
      <c r="W262" s="29"/>
      <c r="X262" s="630"/>
      <c r="Y262" s="11"/>
    </row>
    <row r="263" spans="1:25" ht="20.100000000000001" customHeight="1" x14ac:dyDescent="0.2">
      <c r="A263" s="621" t="s">
        <v>1220</v>
      </c>
      <c r="B263" s="24" t="s">
        <v>1221</v>
      </c>
      <c r="C263" s="25" t="s">
        <v>848</v>
      </c>
      <c r="D263" s="674" t="s">
        <v>1222</v>
      </c>
      <c r="E263" s="609">
        <v>1.0210000000000001</v>
      </c>
      <c r="F263" s="98" t="s">
        <v>1224</v>
      </c>
      <c r="G263" s="61">
        <v>0</v>
      </c>
      <c r="H263" s="98">
        <v>0</v>
      </c>
      <c r="I263" s="60">
        <v>0</v>
      </c>
      <c r="J263" s="60">
        <v>0</v>
      </c>
      <c r="K263" s="60">
        <v>0</v>
      </c>
      <c r="L263" s="60">
        <v>0</v>
      </c>
      <c r="M263" s="61">
        <v>4.2</v>
      </c>
      <c r="N263" s="61" t="s">
        <v>1710</v>
      </c>
      <c r="O263" s="46">
        <v>3.254</v>
      </c>
      <c r="P263" s="40" t="s">
        <v>1223</v>
      </c>
      <c r="Q263" s="41"/>
      <c r="R263" s="121"/>
      <c r="S263" s="42"/>
      <c r="T263" s="42"/>
      <c r="U263" s="42"/>
      <c r="V263" s="42"/>
      <c r="W263" s="41"/>
      <c r="X263" s="615"/>
      <c r="Y263" s="11"/>
    </row>
    <row r="264" spans="1:25" ht="20.100000000000001" customHeight="1" x14ac:dyDescent="0.2">
      <c r="A264" s="621" t="s">
        <v>1225</v>
      </c>
      <c r="B264" s="24" t="s">
        <v>1226</v>
      </c>
      <c r="C264" s="25" t="s">
        <v>811</v>
      </c>
      <c r="D264" s="674" t="s">
        <v>1227</v>
      </c>
      <c r="E264" s="663"/>
      <c r="F264" s="82"/>
      <c r="G264" s="51"/>
      <c r="H264" s="82"/>
      <c r="I264" s="50"/>
      <c r="J264" s="50"/>
      <c r="K264" s="50"/>
      <c r="L264" s="50"/>
      <c r="M264" s="51"/>
      <c r="N264" s="51"/>
      <c r="O264" s="46">
        <v>6.6880000000000006</v>
      </c>
      <c r="P264" s="29" t="s">
        <v>1228</v>
      </c>
      <c r="Q264" s="30"/>
      <c r="R264" s="121"/>
      <c r="S264" s="31"/>
      <c r="T264" s="31"/>
      <c r="U264" s="31"/>
      <c r="V264" s="489"/>
      <c r="W264" s="29"/>
      <c r="X264" s="614"/>
      <c r="Y264" s="11"/>
    </row>
    <row r="265" spans="1:25" ht="30.75" customHeight="1" x14ac:dyDescent="0.2">
      <c r="A265" s="621" t="s">
        <v>1229</v>
      </c>
      <c r="B265" s="24" t="s">
        <v>1230</v>
      </c>
      <c r="C265" s="25" t="s">
        <v>800</v>
      </c>
      <c r="D265" s="674" t="s">
        <v>1231</v>
      </c>
      <c r="E265" s="611">
        <v>46.930999999999997</v>
      </c>
      <c r="F265" s="71" t="s">
        <v>1835</v>
      </c>
      <c r="G265" s="79"/>
      <c r="H265" s="71"/>
      <c r="I265" s="78"/>
      <c r="J265" s="78"/>
      <c r="K265" s="78"/>
      <c r="L265" s="78"/>
      <c r="M265" s="71">
        <v>46.930999999999997</v>
      </c>
      <c r="N265" s="79" t="s">
        <v>1835</v>
      </c>
      <c r="O265" s="30">
        <v>29.064</v>
      </c>
      <c r="P265" s="40" t="s">
        <v>1232</v>
      </c>
      <c r="Q265" s="40"/>
      <c r="R265" s="121"/>
      <c r="S265" s="70"/>
      <c r="T265" s="70"/>
      <c r="U265" s="70"/>
      <c r="V265" s="70"/>
      <c r="W265" s="252">
        <v>15</v>
      </c>
      <c r="X265" s="637" t="s">
        <v>1232</v>
      </c>
      <c r="Y265" s="11"/>
    </row>
    <row r="266" spans="1:25" ht="20.100000000000001" customHeight="1" x14ac:dyDescent="0.2">
      <c r="A266" s="621" t="s">
        <v>1233</v>
      </c>
      <c r="B266" s="24" t="s">
        <v>1234</v>
      </c>
      <c r="C266" s="25" t="s">
        <v>627</v>
      </c>
      <c r="D266" s="674" t="s">
        <v>1235</v>
      </c>
      <c r="E266" s="608"/>
      <c r="F266" s="33"/>
      <c r="G266" s="69"/>
      <c r="H266" s="33"/>
      <c r="I266" s="37"/>
      <c r="J266" s="37"/>
      <c r="K266" s="37"/>
      <c r="L266" s="37"/>
      <c r="M266" s="69"/>
      <c r="N266" s="69"/>
      <c r="O266" s="30">
        <v>4.0429999999999993</v>
      </c>
      <c r="P266" s="29" t="s">
        <v>1236</v>
      </c>
      <c r="Q266" s="94"/>
      <c r="R266" s="121"/>
      <c r="S266" s="31"/>
      <c r="T266" s="31"/>
      <c r="U266" s="31"/>
      <c r="V266" s="31"/>
      <c r="W266" s="31">
        <f>4.414-0.371</f>
        <v>4.0429999999999993</v>
      </c>
      <c r="X266" s="616" t="s">
        <v>1236</v>
      </c>
      <c r="Y266" s="11"/>
    </row>
    <row r="267" spans="1:25" ht="20.100000000000001" customHeight="1" x14ac:dyDescent="0.2">
      <c r="A267" s="621" t="s">
        <v>1237</v>
      </c>
      <c r="B267" s="24" t="s">
        <v>1238</v>
      </c>
      <c r="C267" s="25" t="s">
        <v>811</v>
      </c>
      <c r="D267" s="674" t="s">
        <v>1239</v>
      </c>
      <c r="E267" s="663"/>
      <c r="F267" s="82"/>
      <c r="G267" s="51"/>
      <c r="H267" s="82"/>
      <c r="I267" s="50"/>
      <c r="J267" s="50"/>
      <c r="K267" s="50"/>
      <c r="L267" s="50"/>
      <c r="M267" s="51"/>
      <c r="N267" s="51"/>
      <c r="O267" s="46">
        <v>6.9809999999999999</v>
      </c>
      <c r="P267" s="105" t="s">
        <v>1240</v>
      </c>
      <c r="Q267" s="106"/>
      <c r="R267" s="121"/>
      <c r="S267" s="107"/>
      <c r="T267" s="107"/>
      <c r="U267" s="107"/>
      <c r="V267" s="544"/>
      <c r="W267" s="28">
        <v>3.5</v>
      </c>
      <c r="X267" s="641" t="s">
        <v>1240</v>
      </c>
      <c r="Y267" s="11"/>
    </row>
    <row r="268" spans="1:25" ht="20.100000000000001" customHeight="1" x14ac:dyDescent="0.2">
      <c r="A268" s="621" t="s">
        <v>1241</v>
      </c>
      <c r="B268" s="24" t="s">
        <v>1242</v>
      </c>
      <c r="C268" s="25" t="s">
        <v>811</v>
      </c>
      <c r="D268" s="674" t="s">
        <v>1243</v>
      </c>
      <c r="E268" s="608"/>
      <c r="F268" s="33"/>
      <c r="G268" s="69"/>
      <c r="H268" s="33"/>
      <c r="I268" s="37"/>
      <c r="J268" s="37"/>
      <c r="K268" s="37"/>
      <c r="L268" s="37"/>
      <c r="M268" s="69"/>
      <c r="N268" s="69"/>
      <c r="O268" s="46">
        <v>1.8490000000000002</v>
      </c>
      <c r="P268" s="105" t="s">
        <v>1244</v>
      </c>
      <c r="Q268" s="106"/>
      <c r="R268" s="121"/>
      <c r="S268" s="107"/>
      <c r="T268" s="107"/>
      <c r="U268" s="107"/>
      <c r="V268" s="544"/>
      <c r="W268" s="105">
        <v>1</v>
      </c>
      <c r="X268" s="642" t="s">
        <v>1244</v>
      </c>
      <c r="Y268" s="11"/>
    </row>
    <row r="269" spans="1:25" ht="20.100000000000001" customHeight="1" x14ac:dyDescent="0.2">
      <c r="A269" s="621" t="s">
        <v>1245</v>
      </c>
      <c r="B269" s="24" t="s">
        <v>1246</v>
      </c>
      <c r="C269" s="25" t="s">
        <v>811</v>
      </c>
      <c r="D269" s="674" t="s">
        <v>1247</v>
      </c>
      <c r="E269" s="611">
        <v>8.8239999999999998</v>
      </c>
      <c r="F269" s="124" t="s">
        <v>1249</v>
      </c>
      <c r="G269" s="126">
        <v>0.5</v>
      </c>
      <c r="H269" s="79" t="s">
        <v>1250</v>
      </c>
      <c r="I269" s="125">
        <v>1</v>
      </c>
      <c r="J269" s="125">
        <v>1</v>
      </c>
      <c r="K269" s="125">
        <v>1</v>
      </c>
      <c r="L269" s="125">
        <v>0</v>
      </c>
      <c r="M269" s="71">
        <v>8.3239999999999998</v>
      </c>
      <c r="N269" s="79" t="s">
        <v>1251</v>
      </c>
      <c r="O269" s="46">
        <v>3.2480000000000002</v>
      </c>
      <c r="P269" s="105" t="s">
        <v>1248</v>
      </c>
      <c r="Q269" s="105"/>
      <c r="R269" s="121"/>
      <c r="S269" s="123"/>
      <c r="T269" s="123"/>
      <c r="U269" s="123"/>
      <c r="V269" s="554"/>
      <c r="W269" s="105">
        <v>1.6</v>
      </c>
      <c r="X269" s="642" t="s">
        <v>1248</v>
      </c>
      <c r="Y269" s="11"/>
    </row>
    <row r="270" spans="1:25" ht="20.100000000000001" customHeight="1" x14ac:dyDescent="0.2">
      <c r="A270" s="621" t="s">
        <v>1252</v>
      </c>
      <c r="B270" s="24" t="s">
        <v>1253</v>
      </c>
      <c r="C270" s="25" t="s">
        <v>811</v>
      </c>
      <c r="D270" s="674" t="s">
        <v>1254</v>
      </c>
      <c r="E270" s="608"/>
      <c r="F270" s="33"/>
      <c r="G270" s="69"/>
      <c r="H270" s="33"/>
      <c r="I270" s="37"/>
      <c r="J270" s="37"/>
      <c r="K270" s="37"/>
      <c r="L270" s="37"/>
      <c r="M270" s="69"/>
      <c r="N270" s="69"/>
      <c r="O270" s="46">
        <v>5.625</v>
      </c>
      <c r="P270" s="105" t="s">
        <v>1255</v>
      </c>
      <c r="Q270" s="106"/>
      <c r="R270" s="121"/>
      <c r="S270" s="107"/>
      <c r="T270" s="107"/>
      <c r="U270" s="107"/>
      <c r="V270" s="544"/>
      <c r="W270" s="28">
        <v>5.625</v>
      </c>
      <c r="X270" s="641" t="s">
        <v>1255</v>
      </c>
      <c r="Y270" s="11"/>
    </row>
    <row r="271" spans="1:25" ht="20.100000000000001" customHeight="1" x14ac:dyDescent="0.2">
      <c r="A271" s="621" t="s">
        <v>1256</v>
      </c>
      <c r="B271" s="24" t="s">
        <v>1257</v>
      </c>
      <c r="C271" s="25" t="s">
        <v>848</v>
      </c>
      <c r="D271" s="674" t="s">
        <v>1258</v>
      </c>
      <c r="E271" s="608"/>
      <c r="F271" s="33"/>
      <c r="G271" s="69"/>
      <c r="H271" s="33"/>
      <c r="I271" s="37"/>
      <c r="J271" s="37"/>
      <c r="K271" s="37"/>
      <c r="L271" s="37"/>
      <c r="M271" s="69"/>
      <c r="N271" s="69"/>
      <c r="O271" s="46">
        <v>38.360999999999997</v>
      </c>
      <c r="P271" s="29" t="s">
        <v>1259</v>
      </c>
      <c r="Q271" s="30"/>
      <c r="R271" s="121"/>
      <c r="S271" s="31"/>
      <c r="T271" s="31"/>
      <c r="U271" s="31"/>
      <c r="V271" s="31"/>
      <c r="W271" s="30">
        <v>34.360999999999997</v>
      </c>
      <c r="X271" s="615"/>
      <c r="Y271" s="11"/>
    </row>
    <row r="272" spans="1:25" ht="20.100000000000001" customHeight="1" x14ac:dyDescent="0.2">
      <c r="A272" s="621" t="s">
        <v>1260</v>
      </c>
      <c r="B272" s="24" t="s">
        <v>1261</v>
      </c>
      <c r="C272" s="25" t="s">
        <v>848</v>
      </c>
      <c r="D272" s="674" t="s">
        <v>1262</v>
      </c>
      <c r="E272" s="611">
        <v>8.01</v>
      </c>
      <c r="F272" s="71" t="s">
        <v>1264</v>
      </c>
      <c r="G272" s="74">
        <f>9.4-2</f>
        <v>7.4</v>
      </c>
      <c r="H272" s="71" t="s">
        <v>1265</v>
      </c>
      <c r="I272" s="78">
        <v>10</v>
      </c>
      <c r="J272" s="78">
        <v>0</v>
      </c>
      <c r="K272" s="78">
        <v>6</v>
      </c>
      <c r="L272" s="78">
        <v>0</v>
      </c>
      <c r="M272" s="79">
        <v>0</v>
      </c>
      <c r="N272" s="74"/>
      <c r="O272" s="46">
        <v>1.502</v>
      </c>
      <c r="P272" s="29" t="s">
        <v>1263</v>
      </c>
      <c r="Q272" s="30"/>
      <c r="R272" s="121"/>
      <c r="S272" s="31"/>
      <c r="T272" s="31"/>
      <c r="U272" s="31"/>
      <c r="V272" s="31"/>
      <c r="W272" s="30"/>
      <c r="X272" s="614"/>
      <c r="Y272" s="11"/>
    </row>
    <row r="273" spans="1:25" ht="20.100000000000001" customHeight="1" x14ac:dyDescent="0.2">
      <c r="A273" s="621" t="s">
        <v>1266</v>
      </c>
      <c r="B273" s="24" t="s">
        <v>1267</v>
      </c>
      <c r="C273" s="25" t="s">
        <v>848</v>
      </c>
      <c r="D273" s="674" t="s">
        <v>1268</v>
      </c>
      <c r="E273" s="611">
        <v>7.04</v>
      </c>
      <c r="F273" s="71" t="s">
        <v>1270</v>
      </c>
      <c r="G273" s="79">
        <v>0</v>
      </c>
      <c r="H273" s="71" t="s">
        <v>1271</v>
      </c>
      <c r="I273" s="78">
        <v>0</v>
      </c>
      <c r="J273" s="78">
        <v>0</v>
      </c>
      <c r="K273" s="78">
        <v>0</v>
      </c>
      <c r="L273" s="78">
        <v>0</v>
      </c>
      <c r="M273" s="79">
        <v>7.04</v>
      </c>
      <c r="N273" s="79"/>
      <c r="O273" s="46">
        <v>0.38699999999999996</v>
      </c>
      <c r="P273" s="29" t="s">
        <v>1269</v>
      </c>
      <c r="Q273" s="29"/>
      <c r="R273" s="121"/>
      <c r="S273" s="68"/>
      <c r="T273" s="68"/>
      <c r="U273" s="68"/>
      <c r="V273" s="68"/>
      <c r="W273" s="29"/>
      <c r="X273" s="630"/>
      <c r="Y273" s="11"/>
    </row>
    <row r="274" spans="1:25" ht="20.100000000000001" customHeight="1" x14ac:dyDescent="0.2">
      <c r="A274" s="621" t="s">
        <v>1272</v>
      </c>
      <c r="B274" s="24" t="s">
        <v>1273</v>
      </c>
      <c r="C274" s="25" t="s">
        <v>848</v>
      </c>
      <c r="D274" s="674" t="s">
        <v>1274</v>
      </c>
      <c r="E274" s="611">
        <v>7.8550000000000004</v>
      </c>
      <c r="F274" s="71" t="s">
        <v>1276</v>
      </c>
      <c r="G274" s="79">
        <v>0</v>
      </c>
      <c r="H274" s="71">
        <v>0</v>
      </c>
      <c r="I274" s="78">
        <v>0</v>
      </c>
      <c r="J274" s="78">
        <v>0</v>
      </c>
      <c r="K274" s="78">
        <v>0</v>
      </c>
      <c r="L274" s="78">
        <v>0</v>
      </c>
      <c r="M274" s="79">
        <f>8.4-0.545</f>
        <v>7.8550000000000004</v>
      </c>
      <c r="N274" s="79" t="s">
        <v>1789</v>
      </c>
      <c r="O274" s="46">
        <v>0.21800000000000003</v>
      </c>
      <c r="P274" s="29" t="s">
        <v>1275</v>
      </c>
      <c r="Q274" s="29"/>
      <c r="R274" s="121"/>
      <c r="S274" s="68"/>
      <c r="T274" s="68"/>
      <c r="U274" s="68"/>
      <c r="V274" s="68"/>
      <c r="W274" s="29"/>
      <c r="X274" s="630"/>
      <c r="Y274" s="11"/>
    </row>
    <row r="275" spans="1:25" ht="42" x14ac:dyDescent="0.2">
      <c r="A275" s="621" t="s">
        <v>1277</v>
      </c>
      <c r="B275" s="24" t="s">
        <v>1278</v>
      </c>
      <c r="C275" s="25" t="s">
        <v>731</v>
      </c>
      <c r="D275" s="674" t="s">
        <v>1279</v>
      </c>
      <c r="E275" s="611">
        <f>22.394+19.891</f>
        <v>42.284999999999997</v>
      </c>
      <c r="F275" s="76" t="s">
        <v>1629</v>
      </c>
      <c r="G275" s="76"/>
      <c r="H275" s="76"/>
      <c r="I275" s="76"/>
      <c r="J275" s="76"/>
      <c r="K275" s="76"/>
      <c r="L275" s="76"/>
      <c r="M275" s="339">
        <v>6</v>
      </c>
      <c r="N275" s="76" t="s">
        <v>1671</v>
      </c>
      <c r="O275" s="46">
        <v>15.818</v>
      </c>
      <c r="P275" s="40" t="s">
        <v>1280</v>
      </c>
      <c r="Q275" s="58"/>
      <c r="R275" s="121"/>
      <c r="S275" s="58"/>
      <c r="T275" s="58"/>
      <c r="U275" s="58"/>
      <c r="V275" s="58"/>
      <c r="W275" s="57">
        <v>9</v>
      </c>
      <c r="X275" s="636" t="s">
        <v>1670</v>
      </c>
      <c r="Y275" s="11"/>
    </row>
    <row r="276" spans="1:25" ht="88.5" customHeight="1" x14ac:dyDescent="0.2">
      <c r="A276" s="621" t="s">
        <v>1282</v>
      </c>
      <c r="B276" s="24" t="s">
        <v>1283</v>
      </c>
      <c r="C276" s="25" t="s">
        <v>989</v>
      </c>
      <c r="D276" s="674" t="s">
        <v>1284</v>
      </c>
      <c r="E276" s="611">
        <v>22.050999999999998</v>
      </c>
      <c r="F276" s="76" t="s">
        <v>1286</v>
      </c>
      <c r="G276" s="76"/>
      <c r="H276" s="76"/>
      <c r="I276" s="76"/>
      <c r="J276" s="76"/>
      <c r="K276" s="76"/>
      <c r="L276" s="76"/>
      <c r="M276" s="339">
        <v>22.050999999999998</v>
      </c>
      <c r="N276" s="76" t="s">
        <v>1286</v>
      </c>
      <c r="O276" s="46">
        <v>67.203999999999994</v>
      </c>
      <c r="P276" s="40" t="s">
        <v>1285</v>
      </c>
      <c r="Q276" s="58"/>
      <c r="R276" s="121"/>
      <c r="S276" s="58"/>
      <c r="T276" s="58"/>
      <c r="U276" s="58"/>
      <c r="V276" s="58"/>
      <c r="W276" s="57"/>
      <c r="X276" s="630" t="s">
        <v>1285</v>
      </c>
      <c r="Y276" s="11"/>
    </row>
    <row r="277" spans="1:25" ht="20.100000000000001" customHeight="1" x14ac:dyDescent="0.2">
      <c r="A277" s="621" t="s">
        <v>1288</v>
      </c>
      <c r="B277" s="24" t="s">
        <v>1289</v>
      </c>
      <c r="C277" s="25" t="s">
        <v>731</v>
      </c>
      <c r="D277" s="674" t="s">
        <v>1290</v>
      </c>
      <c r="E277" s="611">
        <v>1.7569999999999999</v>
      </c>
      <c r="F277" s="71" t="s">
        <v>1291</v>
      </c>
      <c r="G277" s="76"/>
      <c r="H277" s="76"/>
      <c r="I277" s="76"/>
      <c r="J277" s="76"/>
      <c r="K277" s="76"/>
      <c r="L277" s="76"/>
      <c r="M277" s="339">
        <f>1.934-0.177</f>
        <v>1.7569999999999999</v>
      </c>
      <c r="N277" s="76" t="s">
        <v>1291</v>
      </c>
      <c r="O277" s="80"/>
      <c r="P277" s="27"/>
      <c r="Q277" s="50"/>
      <c r="R277" s="493"/>
      <c r="S277" s="50"/>
      <c r="T277" s="50"/>
      <c r="U277" s="50"/>
      <c r="V277" s="50"/>
      <c r="W277" s="49"/>
      <c r="X277" s="643"/>
      <c r="Y277" s="11"/>
    </row>
    <row r="278" spans="1:25" ht="51.75" customHeight="1" x14ac:dyDescent="0.2">
      <c r="A278" s="621" t="s">
        <v>1294</v>
      </c>
      <c r="B278" s="39" t="s">
        <v>1295</v>
      </c>
      <c r="C278" s="25" t="s">
        <v>731</v>
      </c>
      <c r="D278" s="674" t="s">
        <v>1296</v>
      </c>
      <c r="E278" s="611">
        <v>2.5299999999999998</v>
      </c>
      <c r="F278" s="71" t="s">
        <v>1299</v>
      </c>
      <c r="G278" s="76"/>
      <c r="H278" s="76"/>
      <c r="I278" s="76"/>
      <c r="J278" s="76"/>
      <c r="K278" s="76"/>
      <c r="L278" s="76"/>
      <c r="M278" s="339">
        <v>2.5299999999999998</v>
      </c>
      <c r="N278" s="71" t="s">
        <v>1299</v>
      </c>
      <c r="O278" s="46">
        <v>3.2509999999999994</v>
      </c>
      <c r="P278" s="40" t="s">
        <v>1298</v>
      </c>
      <c r="Q278" s="58"/>
      <c r="R278" s="121"/>
      <c r="S278" s="58"/>
      <c r="T278" s="58"/>
      <c r="U278" s="58"/>
      <c r="V278" s="58"/>
      <c r="W278" s="57"/>
      <c r="X278" s="636"/>
      <c r="Y278" s="11"/>
    </row>
    <row r="279" spans="1:25" ht="20.100000000000001" customHeight="1" x14ac:dyDescent="0.2">
      <c r="A279" s="621" t="s">
        <v>1300</v>
      </c>
      <c r="B279" s="39" t="s">
        <v>1301</v>
      </c>
      <c r="C279" s="25" t="s">
        <v>731</v>
      </c>
      <c r="D279" s="674" t="s">
        <v>1302</v>
      </c>
      <c r="E279" s="608"/>
      <c r="F279" s="33"/>
      <c r="G279" s="69"/>
      <c r="H279" s="33"/>
      <c r="I279" s="37"/>
      <c r="J279" s="37"/>
      <c r="K279" s="37"/>
      <c r="L279" s="37"/>
      <c r="M279" s="69"/>
      <c r="N279" s="69"/>
      <c r="O279" s="30">
        <v>1.7589999999999999</v>
      </c>
      <c r="P279" s="40" t="s">
        <v>1303</v>
      </c>
      <c r="Q279" s="63"/>
      <c r="R279" s="121"/>
      <c r="S279" s="63"/>
      <c r="T279" s="63"/>
      <c r="U279" s="63"/>
      <c r="V279" s="63"/>
      <c r="W279" s="62"/>
      <c r="X279" s="644"/>
      <c r="Y279" s="11"/>
    </row>
    <row r="280" spans="1:25" ht="20.100000000000001" customHeight="1" x14ac:dyDescent="0.2">
      <c r="A280" s="621" t="s">
        <v>1304</v>
      </c>
      <c r="B280" s="24" t="s">
        <v>1305</v>
      </c>
      <c r="C280" s="25" t="s">
        <v>627</v>
      </c>
      <c r="D280" s="674" t="s">
        <v>1306</v>
      </c>
      <c r="E280" s="608"/>
      <c r="F280" s="33"/>
      <c r="G280" s="69"/>
      <c r="H280" s="33"/>
      <c r="I280" s="37"/>
      <c r="J280" s="37"/>
      <c r="K280" s="37"/>
      <c r="L280" s="37"/>
      <c r="M280" s="69"/>
      <c r="N280" s="69"/>
      <c r="O280" s="30">
        <v>51.844000000000001</v>
      </c>
      <c r="P280" s="29" t="s">
        <v>1307</v>
      </c>
      <c r="Q280" s="94"/>
      <c r="R280" s="121"/>
      <c r="S280" s="31"/>
      <c r="T280" s="31"/>
      <c r="U280" s="31"/>
      <c r="V280" s="31"/>
      <c r="W280" s="94">
        <v>25.8</v>
      </c>
      <c r="X280" s="614" t="s">
        <v>1307</v>
      </c>
      <c r="Y280" s="11"/>
    </row>
    <row r="281" spans="1:25" ht="24" customHeight="1" x14ac:dyDescent="0.2">
      <c r="A281" s="621" t="s">
        <v>144</v>
      </c>
      <c r="B281" s="24" t="s">
        <v>1308</v>
      </c>
      <c r="C281" s="25" t="s">
        <v>989</v>
      </c>
      <c r="D281" s="674" t="s">
        <v>1309</v>
      </c>
      <c r="E281" s="611">
        <v>21.347999999999999</v>
      </c>
      <c r="F281" s="71" t="s">
        <v>1311</v>
      </c>
      <c r="G281" s="78">
        <v>20</v>
      </c>
      <c r="H281" s="71" t="s">
        <v>1694</v>
      </c>
      <c r="I281" s="73">
        <v>28</v>
      </c>
      <c r="J281" s="73">
        <v>0</v>
      </c>
      <c r="K281" s="73">
        <v>12</v>
      </c>
      <c r="L281" s="73">
        <v>2</v>
      </c>
      <c r="M281" s="79">
        <v>1.35</v>
      </c>
      <c r="N281" s="71" t="s">
        <v>1695</v>
      </c>
      <c r="O281" s="30">
        <v>10.124000000000001</v>
      </c>
      <c r="P281" s="28" t="s">
        <v>1792</v>
      </c>
      <c r="Q281" s="46"/>
      <c r="R281" s="46"/>
      <c r="S281" s="46"/>
      <c r="T281" s="46"/>
      <c r="U281" s="46"/>
      <c r="V281" s="46"/>
      <c r="W281" s="46">
        <v>10.124000000000001</v>
      </c>
      <c r="X281" s="617" t="s">
        <v>1792</v>
      </c>
      <c r="Y281" s="11"/>
    </row>
    <row r="282" spans="1:25" ht="60.75" customHeight="1" x14ac:dyDescent="0.2">
      <c r="A282" s="621" t="s">
        <v>1312</v>
      </c>
      <c r="B282" s="24" t="s">
        <v>1313</v>
      </c>
      <c r="C282" s="25" t="s">
        <v>731</v>
      </c>
      <c r="D282" s="674" t="s">
        <v>1314</v>
      </c>
      <c r="E282" s="611">
        <v>105.22099999999999</v>
      </c>
      <c r="F282" s="72" t="s">
        <v>1672</v>
      </c>
      <c r="G282" s="71">
        <v>0.9</v>
      </c>
      <c r="H282" s="71" t="s">
        <v>1673</v>
      </c>
      <c r="I282" s="73">
        <v>2</v>
      </c>
      <c r="J282" s="73">
        <v>0</v>
      </c>
      <c r="K282" s="73">
        <v>2</v>
      </c>
      <c r="L282" s="73">
        <v>0</v>
      </c>
      <c r="M282" s="79">
        <v>36.5</v>
      </c>
      <c r="N282" s="71" t="s">
        <v>1674</v>
      </c>
      <c r="O282" s="46">
        <v>11.689000000000012</v>
      </c>
      <c r="P282" s="40" t="s">
        <v>1316</v>
      </c>
      <c r="Q282" s="62"/>
      <c r="R282" s="46"/>
      <c r="S282" s="46"/>
      <c r="T282" s="46"/>
      <c r="U282" s="46"/>
      <c r="V282" s="46"/>
      <c r="W282" s="46">
        <f>8.27-0.411+19.5-17.5+87.43-85.6</f>
        <v>11.689000000000021</v>
      </c>
      <c r="X282" s="617" t="s">
        <v>1316</v>
      </c>
      <c r="Y282" s="11"/>
    </row>
    <row r="283" spans="1:25" ht="20.100000000000001" customHeight="1" x14ac:dyDescent="0.2">
      <c r="A283" s="621" t="s">
        <v>1319</v>
      </c>
      <c r="B283" s="24" t="s">
        <v>1320</v>
      </c>
      <c r="C283" s="90" t="s">
        <v>731</v>
      </c>
      <c r="D283" s="674" t="s">
        <v>1321</v>
      </c>
      <c r="E283" s="608"/>
      <c r="F283" s="33"/>
      <c r="G283" s="69"/>
      <c r="H283" s="33"/>
      <c r="I283" s="37"/>
      <c r="J283" s="37"/>
      <c r="K283" s="37"/>
      <c r="L283" s="37"/>
      <c r="M283" s="69"/>
      <c r="N283" s="69"/>
      <c r="O283" s="46">
        <v>2.4180000000000064</v>
      </c>
      <c r="P283" s="29" t="s">
        <v>1322</v>
      </c>
      <c r="Q283" s="47"/>
      <c r="R283" s="46"/>
      <c r="S283" s="47"/>
      <c r="T283" s="47"/>
      <c r="U283" s="47"/>
      <c r="V283" s="47"/>
      <c r="W283" s="46"/>
      <c r="X283" s="645"/>
      <c r="Y283" s="11"/>
    </row>
    <row r="284" spans="1:25" ht="20.100000000000001" customHeight="1" x14ac:dyDescent="0.2">
      <c r="A284" s="621" t="s">
        <v>1323</v>
      </c>
      <c r="B284" s="24" t="s">
        <v>1324</v>
      </c>
      <c r="C284" s="25" t="s">
        <v>731</v>
      </c>
      <c r="D284" s="674" t="s">
        <v>1325</v>
      </c>
      <c r="E284" s="611">
        <v>1.3259999999999998</v>
      </c>
      <c r="F284" s="71" t="s">
        <v>1326</v>
      </c>
      <c r="G284" s="87">
        <v>0</v>
      </c>
      <c r="H284" s="71"/>
      <c r="I284" s="78"/>
      <c r="J284" s="78"/>
      <c r="K284" s="78"/>
      <c r="L284" s="78"/>
      <c r="M284" s="79"/>
      <c r="N284" s="87"/>
      <c r="O284" s="80"/>
      <c r="P284" s="27"/>
      <c r="Q284" s="49"/>
      <c r="R284" s="49"/>
      <c r="S284" s="50"/>
      <c r="T284" s="50"/>
      <c r="U284" s="50"/>
      <c r="V284" s="50"/>
      <c r="W284" s="49"/>
      <c r="X284" s="632"/>
      <c r="Y284" s="11"/>
    </row>
    <row r="285" spans="1:25" ht="20.100000000000001" customHeight="1" x14ac:dyDescent="0.2">
      <c r="A285" s="621" t="s">
        <v>1328</v>
      </c>
      <c r="B285" s="24" t="s">
        <v>1329</v>
      </c>
      <c r="C285" s="25" t="s">
        <v>731</v>
      </c>
      <c r="D285" s="674" t="s">
        <v>1330</v>
      </c>
      <c r="E285" s="608"/>
      <c r="F285" s="33"/>
      <c r="G285" s="69"/>
      <c r="H285" s="33"/>
      <c r="I285" s="37"/>
      <c r="J285" s="37"/>
      <c r="K285" s="37"/>
      <c r="L285" s="37"/>
      <c r="M285" s="69"/>
      <c r="N285" s="69"/>
      <c r="O285" s="30">
        <v>2.2669999999999999</v>
      </c>
      <c r="P285" s="29" t="s">
        <v>1331</v>
      </c>
      <c r="Q285" s="47"/>
      <c r="R285" s="47"/>
      <c r="S285" s="47"/>
      <c r="T285" s="47"/>
      <c r="U285" s="47"/>
      <c r="V285" s="47"/>
      <c r="W285" s="47">
        <f>2.69-0.423</f>
        <v>2.2669999999999999</v>
      </c>
      <c r="X285" s="645" t="s">
        <v>1331</v>
      </c>
      <c r="Y285" s="11"/>
    </row>
    <row r="286" spans="1:25" ht="20.100000000000001" customHeight="1" x14ac:dyDescent="0.2">
      <c r="A286" s="621" t="s">
        <v>1332</v>
      </c>
      <c r="B286" s="24" t="s">
        <v>1333</v>
      </c>
      <c r="C286" s="25" t="s">
        <v>731</v>
      </c>
      <c r="D286" s="674" t="s">
        <v>1334</v>
      </c>
      <c r="E286" s="608"/>
      <c r="F286" s="33"/>
      <c r="G286" s="69"/>
      <c r="H286" s="33"/>
      <c r="I286" s="37"/>
      <c r="J286" s="37"/>
      <c r="K286" s="37"/>
      <c r="L286" s="37"/>
      <c r="M286" s="69"/>
      <c r="N286" s="69"/>
      <c r="O286" s="46">
        <v>8.3349999999999991</v>
      </c>
      <c r="P286" s="28" t="s">
        <v>1335</v>
      </c>
      <c r="Q286" s="494">
        <v>8.6</v>
      </c>
      <c r="R286" s="495" t="s">
        <v>1675</v>
      </c>
      <c r="S286" s="496">
        <v>11</v>
      </c>
      <c r="T286" s="496">
        <v>0</v>
      </c>
      <c r="U286" s="496">
        <v>8</v>
      </c>
      <c r="V286" s="496">
        <v>0</v>
      </c>
      <c r="W286" s="47"/>
      <c r="X286" s="645"/>
      <c r="Y286" s="11"/>
    </row>
    <row r="287" spans="1:25" ht="20.100000000000001" customHeight="1" x14ac:dyDescent="0.2">
      <c r="A287" s="621" t="s">
        <v>1336</v>
      </c>
      <c r="B287" s="24" t="s">
        <v>1337</v>
      </c>
      <c r="C287" s="25" t="s">
        <v>731</v>
      </c>
      <c r="D287" s="674" t="s">
        <v>1338</v>
      </c>
      <c r="E287" s="608"/>
      <c r="F287" s="36"/>
      <c r="G287" s="69"/>
      <c r="H287" s="36"/>
      <c r="I287" s="37"/>
      <c r="J287" s="37"/>
      <c r="K287" s="37"/>
      <c r="L287" s="37"/>
      <c r="M287" s="69"/>
      <c r="N287" s="69"/>
      <c r="O287" s="30">
        <v>6.6859999999999999</v>
      </c>
      <c r="P287" s="29" t="s">
        <v>1339</v>
      </c>
      <c r="Q287" s="48"/>
      <c r="R287" s="47"/>
      <c r="S287" s="47"/>
      <c r="T287" s="47"/>
      <c r="U287" s="47"/>
      <c r="V287" s="47"/>
      <c r="W287" s="340">
        <f>6.832-0.146</f>
        <v>6.6859999999999999</v>
      </c>
      <c r="X287" s="645" t="s">
        <v>1339</v>
      </c>
      <c r="Y287" s="11"/>
    </row>
    <row r="288" spans="1:25" ht="129.75" customHeight="1" x14ac:dyDescent="0.2">
      <c r="A288" s="621" t="s">
        <v>1340</v>
      </c>
      <c r="B288" s="24" t="s">
        <v>1341</v>
      </c>
      <c r="C288" s="25" t="s">
        <v>731</v>
      </c>
      <c r="D288" s="674" t="s">
        <v>1342</v>
      </c>
      <c r="E288" s="608"/>
      <c r="F288" s="33"/>
      <c r="G288" s="341"/>
      <c r="H288" s="342"/>
      <c r="I288" s="343"/>
      <c r="J288" s="343"/>
      <c r="K288" s="343"/>
      <c r="L288" s="343"/>
      <c r="M288" s="341"/>
      <c r="N288" s="341"/>
      <c r="O288" s="46">
        <v>60.308</v>
      </c>
      <c r="P288" s="29" t="s">
        <v>1343</v>
      </c>
      <c r="Q288" s="93">
        <v>26.1</v>
      </c>
      <c r="R288" s="482" t="s">
        <v>1676</v>
      </c>
      <c r="S288" s="68">
        <v>41</v>
      </c>
      <c r="T288" s="68">
        <v>0</v>
      </c>
      <c r="U288" s="68">
        <v>27</v>
      </c>
      <c r="V288" s="68">
        <v>0</v>
      </c>
      <c r="W288" s="93">
        <v>19.8</v>
      </c>
      <c r="X288" s="646" t="s">
        <v>1677</v>
      </c>
      <c r="Y288" s="11"/>
    </row>
    <row r="289" spans="1:25" ht="34.5" customHeight="1" x14ac:dyDescent="0.2">
      <c r="A289" s="621" t="s">
        <v>1344</v>
      </c>
      <c r="B289" s="24" t="s">
        <v>1345</v>
      </c>
      <c r="C289" s="25" t="s">
        <v>731</v>
      </c>
      <c r="D289" s="676" t="s">
        <v>1839</v>
      </c>
      <c r="E289" s="101">
        <v>42.69</v>
      </c>
      <c r="F289" s="71" t="s">
        <v>1347</v>
      </c>
      <c r="G289" s="79">
        <v>16.5</v>
      </c>
      <c r="H289" s="71" t="s">
        <v>1679</v>
      </c>
      <c r="I289" s="78">
        <v>38</v>
      </c>
      <c r="J289" s="78"/>
      <c r="K289" s="78">
        <v>11</v>
      </c>
      <c r="L289" s="78"/>
      <c r="M289" s="79">
        <f>E289-16.5</f>
        <v>26.189999999999998</v>
      </c>
      <c r="N289" s="71" t="s">
        <v>1680</v>
      </c>
      <c r="O289" s="80"/>
      <c r="P289" s="27"/>
      <c r="Q289" s="49"/>
      <c r="R289" s="49"/>
      <c r="S289" s="50"/>
      <c r="T289" s="50"/>
      <c r="U289" s="50"/>
      <c r="V289" s="50"/>
      <c r="W289" s="49"/>
      <c r="X289" s="632"/>
      <c r="Y289" s="11"/>
    </row>
    <row r="290" spans="1:25" ht="20.100000000000001" customHeight="1" x14ac:dyDescent="0.2">
      <c r="A290" s="621" t="s">
        <v>1349</v>
      </c>
      <c r="B290" s="24" t="s">
        <v>1350</v>
      </c>
      <c r="C290" s="25" t="s">
        <v>731</v>
      </c>
      <c r="D290" s="674" t="s">
        <v>1351</v>
      </c>
      <c r="E290" s="611">
        <v>24.372</v>
      </c>
      <c r="F290" s="71" t="s">
        <v>1352</v>
      </c>
      <c r="G290" s="79">
        <v>23.4</v>
      </c>
      <c r="H290" s="71" t="s">
        <v>1682</v>
      </c>
      <c r="I290" s="78">
        <v>53</v>
      </c>
      <c r="J290" s="78">
        <v>0</v>
      </c>
      <c r="K290" s="78">
        <v>53</v>
      </c>
      <c r="L290" s="78"/>
      <c r="M290" s="79">
        <v>0.93300000000000005</v>
      </c>
      <c r="N290" s="71" t="s">
        <v>1353</v>
      </c>
      <c r="O290" s="80"/>
      <c r="P290" s="27"/>
      <c r="Q290" s="49"/>
      <c r="R290" s="49"/>
      <c r="S290" s="50"/>
      <c r="T290" s="50"/>
      <c r="U290" s="50"/>
      <c r="V290" s="50"/>
      <c r="W290" s="49"/>
      <c r="X290" s="632"/>
      <c r="Y290" s="11"/>
    </row>
    <row r="291" spans="1:25" ht="20.100000000000001" customHeight="1" x14ac:dyDescent="0.2">
      <c r="A291" s="621" t="s">
        <v>1354</v>
      </c>
      <c r="B291" s="24" t="s">
        <v>1355</v>
      </c>
      <c r="C291" s="25" t="s">
        <v>731</v>
      </c>
      <c r="D291" s="674" t="s">
        <v>1356</v>
      </c>
      <c r="E291" s="611">
        <v>9.125</v>
      </c>
      <c r="F291" s="71" t="s">
        <v>1357</v>
      </c>
      <c r="G291" s="79">
        <v>5.3</v>
      </c>
      <c r="H291" s="71" t="s">
        <v>1358</v>
      </c>
      <c r="I291" s="78">
        <v>15</v>
      </c>
      <c r="J291" s="78"/>
      <c r="K291" s="78">
        <v>1</v>
      </c>
      <c r="L291" s="78"/>
      <c r="M291" s="79">
        <f>3.6-0.357+9.482-8.9</f>
        <v>3.8249999999999993</v>
      </c>
      <c r="N291" s="71" t="s">
        <v>1359</v>
      </c>
      <c r="O291" s="80"/>
      <c r="P291" s="27"/>
      <c r="Q291" s="49"/>
      <c r="R291" s="49"/>
      <c r="S291" s="50"/>
      <c r="T291" s="50"/>
      <c r="U291" s="50"/>
      <c r="V291" s="50"/>
      <c r="W291" s="49"/>
      <c r="X291" s="632"/>
      <c r="Y291" s="11"/>
    </row>
    <row r="292" spans="1:25" ht="24.75" customHeight="1" x14ac:dyDescent="0.2">
      <c r="A292" s="621" t="s">
        <v>1360</v>
      </c>
      <c r="B292" s="24" t="s">
        <v>1361</v>
      </c>
      <c r="C292" s="25" t="s">
        <v>731</v>
      </c>
      <c r="D292" s="674" t="s">
        <v>1362</v>
      </c>
      <c r="E292" s="611">
        <v>21.701000000000001</v>
      </c>
      <c r="F292" s="76" t="s">
        <v>1684</v>
      </c>
      <c r="G292" s="76">
        <v>21.701000000000001</v>
      </c>
      <c r="H292" s="76" t="s">
        <v>1684</v>
      </c>
      <c r="I292" s="78">
        <v>21</v>
      </c>
      <c r="J292" s="78">
        <v>0</v>
      </c>
      <c r="K292" s="78">
        <v>15</v>
      </c>
      <c r="L292" s="78">
        <v>1</v>
      </c>
      <c r="M292" s="71"/>
      <c r="N292" s="71"/>
      <c r="O292" s="46">
        <v>14.712999999999999</v>
      </c>
      <c r="P292" s="40" t="s">
        <v>1683</v>
      </c>
      <c r="Q292" s="250">
        <v>14.712999999999999</v>
      </c>
      <c r="R292" s="40" t="s">
        <v>1683</v>
      </c>
      <c r="S292" s="58">
        <v>21</v>
      </c>
      <c r="T292" s="58">
        <v>0</v>
      </c>
      <c r="U292" s="58">
        <v>13</v>
      </c>
      <c r="V292" s="58">
        <v>0</v>
      </c>
      <c r="W292" s="57"/>
      <c r="X292" s="619"/>
      <c r="Y292" s="11"/>
    </row>
    <row r="293" spans="1:25" ht="26.25" customHeight="1" x14ac:dyDescent="0.2">
      <c r="A293" s="621" t="s">
        <v>1363</v>
      </c>
      <c r="B293" s="24" t="s">
        <v>1364</v>
      </c>
      <c r="C293" s="25" t="s">
        <v>1365</v>
      </c>
      <c r="D293" s="674" t="s">
        <v>1366</v>
      </c>
      <c r="E293" s="609">
        <f>2.499+57.794</f>
        <v>60.292999999999999</v>
      </c>
      <c r="F293" s="98" t="s">
        <v>1369</v>
      </c>
      <c r="G293" s="61"/>
      <c r="H293" s="71"/>
      <c r="I293" s="60"/>
      <c r="J293" s="60"/>
      <c r="K293" s="60"/>
      <c r="L293" s="60"/>
      <c r="M293" s="71"/>
      <c r="N293" s="71"/>
      <c r="O293" s="46">
        <v>26.256999999999998</v>
      </c>
      <c r="P293" s="29" t="s">
        <v>1368</v>
      </c>
      <c r="Q293" s="28"/>
      <c r="R293" s="28"/>
      <c r="S293" s="48"/>
      <c r="T293" s="48"/>
      <c r="U293" s="48"/>
      <c r="V293" s="48"/>
      <c r="W293" s="28">
        <v>26.257000000000001</v>
      </c>
      <c r="X293" s="630" t="s">
        <v>1368</v>
      </c>
      <c r="Y293" s="11"/>
    </row>
    <row r="294" spans="1:25" ht="20.100000000000001" customHeight="1" x14ac:dyDescent="0.2">
      <c r="A294" s="621" t="s">
        <v>1371</v>
      </c>
      <c r="B294" s="24" t="s">
        <v>1372</v>
      </c>
      <c r="C294" s="25" t="s">
        <v>811</v>
      </c>
      <c r="D294" s="674" t="s">
        <v>1373</v>
      </c>
      <c r="E294" s="611">
        <v>10.569999999999999</v>
      </c>
      <c r="F294" s="124" t="s">
        <v>1374</v>
      </c>
      <c r="G294" s="126">
        <v>0</v>
      </c>
      <c r="H294" s="102">
        <v>0</v>
      </c>
      <c r="I294" s="125">
        <v>0</v>
      </c>
      <c r="J294" s="125">
        <v>0</v>
      </c>
      <c r="K294" s="125">
        <v>0</v>
      </c>
      <c r="L294" s="125">
        <v>0</v>
      </c>
      <c r="M294" s="71">
        <v>10.569999999999999</v>
      </c>
      <c r="N294" s="71" t="s">
        <v>1819</v>
      </c>
      <c r="O294" s="80"/>
      <c r="P294" s="27"/>
      <c r="Q294" s="27"/>
      <c r="R294" s="27"/>
      <c r="S294" s="37"/>
      <c r="T294" s="37"/>
      <c r="U294" s="37"/>
      <c r="V294" s="34"/>
      <c r="W294" s="27"/>
      <c r="X294" s="629"/>
      <c r="Y294" s="11"/>
    </row>
    <row r="295" spans="1:25" ht="20.100000000000001" customHeight="1" x14ac:dyDescent="0.2">
      <c r="A295" s="621" t="s">
        <v>1375</v>
      </c>
      <c r="B295" s="24" t="s">
        <v>1376</v>
      </c>
      <c r="C295" s="25" t="s">
        <v>811</v>
      </c>
      <c r="D295" s="674" t="s">
        <v>1377</v>
      </c>
      <c r="E295" s="101">
        <v>60.082999999999998</v>
      </c>
      <c r="F295" s="124" t="s">
        <v>1378</v>
      </c>
      <c r="G295" s="126">
        <v>33.700000000000003</v>
      </c>
      <c r="H295" s="71" t="s">
        <v>1733</v>
      </c>
      <c r="I295" s="125">
        <v>67</v>
      </c>
      <c r="J295" s="125">
        <v>13</v>
      </c>
      <c r="K295" s="125">
        <v>33</v>
      </c>
      <c r="L295" s="125">
        <v>3</v>
      </c>
      <c r="M295" s="126">
        <v>27.8</v>
      </c>
      <c r="N295" s="71" t="s">
        <v>1734</v>
      </c>
      <c r="O295" s="80"/>
      <c r="P295" s="27"/>
      <c r="Q295" s="80"/>
      <c r="R295" s="80"/>
      <c r="S295" s="81"/>
      <c r="T295" s="81"/>
      <c r="U295" s="81"/>
      <c r="V295" s="552"/>
      <c r="W295" s="27"/>
      <c r="X295" s="627"/>
      <c r="Y295" s="11"/>
    </row>
    <row r="296" spans="1:25" ht="20.100000000000001" customHeight="1" x14ac:dyDescent="0.2">
      <c r="A296" s="621" t="s">
        <v>1379</v>
      </c>
      <c r="B296" s="24" t="s">
        <v>1380</v>
      </c>
      <c r="C296" s="25" t="s">
        <v>811</v>
      </c>
      <c r="D296" s="674" t="s">
        <v>1381</v>
      </c>
      <c r="E296" s="609">
        <v>16.513000000000002</v>
      </c>
      <c r="F296" s="102" t="s">
        <v>1382</v>
      </c>
      <c r="G296" s="104">
        <v>0</v>
      </c>
      <c r="H296" s="102">
        <v>0</v>
      </c>
      <c r="I296" s="103">
        <v>0</v>
      </c>
      <c r="J296" s="103">
        <v>0</v>
      </c>
      <c r="K296" s="103">
        <v>0</v>
      </c>
      <c r="L296" s="103">
        <v>0</v>
      </c>
      <c r="M296" s="104">
        <v>0</v>
      </c>
      <c r="N296" s="104"/>
      <c r="O296" s="80"/>
      <c r="P296" s="36"/>
      <c r="Q296" s="36"/>
      <c r="R296" s="36"/>
      <c r="S296" s="37"/>
      <c r="T296" s="37"/>
      <c r="U296" s="37"/>
      <c r="V296" s="34"/>
      <c r="W296" s="36"/>
      <c r="X296" s="634"/>
      <c r="Y296" s="11"/>
    </row>
    <row r="297" spans="1:25" ht="26.25" customHeight="1" x14ac:dyDescent="0.2">
      <c r="A297" s="621" t="s">
        <v>1383</v>
      </c>
      <c r="B297" s="24" t="s">
        <v>1384</v>
      </c>
      <c r="C297" s="25" t="s">
        <v>1198</v>
      </c>
      <c r="D297" s="674" t="s">
        <v>1385</v>
      </c>
      <c r="E297" s="611">
        <v>28.224000000000004</v>
      </c>
      <c r="F297" s="72" t="s">
        <v>1389</v>
      </c>
      <c r="G297" s="73">
        <f>(110.3-100.6)+(86.65-70)</f>
        <v>26.350000000000009</v>
      </c>
      <c r="H297" s="71" t="s">
        <v>1390</v>
      </c>
      <c r="I297" s="73">
        <v>35</v>
      </c>
      <c r="J297" s="73">
        <v>0</v>
      </c>
      <c r="K297" s="73">
        <v>11</v>
      </c>
      <c r="L297" s="73">
        <v>0</v>
      </c>
      <c r="M297" s="74">
        <v>0</v>
      </c>
      <c r="N297" s="73"/>
      <c r="O297" s="46">
        <v>21.263999999999989</v>
      </c>
      <c r="P297" s="40" t="s">
        <v>1387</v>
      </c>
      <c r="Q297" s="41">
        <f>100.6-86.65</f>
        <v>13.949999999999989</v>
      </c>
      <c r="R297" s="28" t="s">
        <v>1388</v>
      </c>
      <c r="S297" s="42">
        <v>21</v>
      </c>
      <c r="T297" s="42">
        <v>0</v>
      </c>
      <c r="U297" s="42">
        <v>21</v>
      </c>
      <c r="V297" s="42"/>
      <c r="W297" s="41">
        <v>4</v>
      </c>
      <c r="X297" s="615" t="s">
        <v>1829</v>
      </c>
      <c r="Y297" s="11"/>
    </row>
    <row r="298" spans="1:25" ht="21" x14ac:dyDescent="0.2">
      <c r="A298" s="621" t="s">
        <v>1391</v>
      </c>
      <c r="B298" s="24" t="s">
        <v>1392</v>
      </c>
      <c r="C298" s="25" t="s">
        <v>848</v>
      </c>
      <c r="D298" s="674" t="s">
        <v>1393</v>
      </c>
      <c r="E298" s="611">
        <v>22.5</v>
      </c>
      <c r="F298" s="76" t="s">
        <v>1396</v>
      </c>
      <c r="G298" s="76">
        <v>0</v>
      </c>
      <c r="H298" s="76"/>
      <c r="I298" s="76">
        <v>0</v>
      </c>
      <c r="J298" s="76">
        <v>0</v>
      </c>
      <c r="K298" s="76">
        <v>0</v>
      </c>
      <c r="L298" s="76">
        <v>0</v>
      </c>
      <c r="M298" s="76">
        <v>0</v>
      </c>
      <c r="N298" s="76">
        <v>0</v>
      </c>
      <c r="O298" s="80"/>
      <c r="P298" s="27"/>
      <c r="Q298" s="80"/>
      <c r="R298" s="80"/>
      <c r="S298" s="81"/>
      <c r="T298" s="81"/>
      <c r="U298" s="81"/>
      <c r="V298" s="81"/>
      <c r="W298" s="80"/>
      <c r="X298" s="627"/>
      <c r="Y298" s="11"/>
    </row>
    <row r="299" spans="1:25" ht="20.100000000000001" customHeight="1" x14ac:dyDescent="0.2">
      <c r="A299" s="621" t="s">
        <v>1398</v>
      </c>
      <c r="B299" s="24" t="s">
        <v>1399</v>
      </c>
      <c r="C299" s="25" t="s">
        <v>811</v>
      </c>
      <c r="D299" s="674" t="s">
        <v>1400</v>
      </c>
      <c r="E299" s="611">
        <v>10.089</v>
      </c>
      <c r="F299" s="124" t="s">
        <v>1402</v>
      </c>
      <c r="G299" s="126">
        <v>0</v>
      </c>
      <c r="H299" s="71">
        <v>0</v>
      </c>
      <c r="I299" s="125">
        <v>0</v>
      </c>
      <c r="J299" s="125">
        <v>0</v>
      </c>
      <c r="K299" s="125">
        <v>0</v>
      </c>
      <c r="L299" s="125">
        <v>0</v>
      </c>
      <c r="M299" s="126">
        <v>13.6</v>
      </c>
      <c r="N299" s="71" t="s">
        <v>1735</v>
      </c>
      <c r="O299" s="46">
        <v>3</v>
      </c>
      <c r="P299" s="28" t="s">
        <v>1401</v>
      </c>
      <c r="Q299" s="28"/>
      <c r="R299" s="28"/>
      <c r="S299" s="48"/>
      <c r="T299" s="48"/>
      <c r="U299" s="48"/>
      <c r="V299" s="555"/>
      <c r="W299" s="28"/>
      <c r="X299" s="618"/>
      <c r="Y299" s="11"/>
    </row>
    <row r="300" spans="1:25" ht="20.100000000000001" customHeight="1" x14ac:dyDescent="0.2">
      <c r="A300" s="621" t="s">
        <v>1403</v>
      </c>
      <c r="B300" s="24" t="s">
        <v>1404</v>
      </c>
      <c r="C300" s="25" t="s">
        <v>848</v>
      </c>
      <c r="D300" s="674" t="s">
        <v>1405</v>
      </c>
      <c r="E300" s="611">
        <v>6.3789999999999996</v>
      </c>
      <c r="F300" s="71">
        <v>0</v>
      </c>
      <c r="G300" s="79">
        <v>0</v>
      </c>
      <c r="H300" s="71">
        <v>0</v>
      </c>
      <c r="I300" s="78">
        <v>0</v>
      </c>
      <c r="J300" s="78">
        <v>0</v>
      </c>
      <c r="K300" s="78">
        <v>0</v>
      </c>
      <c r="L300" s="78">
        <v>0</v>
      </c>
      <c r="M300" s="79">
        <v>0</v>
      </c>
      <c r="N300" s="76"/>
      <c r="O300" s="80"/>
      <c r="P300" s="27"/>
      <c r="Q300" s="27"/>
      <c r="R300" s="27"/>
      <c r="S300" s="37"/>
      <c r="T300" s="37"/>
      <c r="U300" s="37"/>
      <c r="V300" s="37"/>
      <c r="W300" s="27"/>
      <c r="X300" s="629"/>
      <c r="Y300" s="11"/>
    </row>
    <row r="301" spans="1:25" ht="20.100000000000001" customHeight="1" x14ac:dyDescent="0.2">
      <c r="A301" s="621" t="s">
        <v>1406</v>
      </c>
      <c r="B301" s="24" t="s">
        <v>1407</v>
      </c>
      <c r="C301" s="25" t="s">
        <v>848</v>
      </c>
      <c r="D301" s="674" t="s">
        <v>1408</v>
      </c>
      <c r="E301" s="608"/>
      <c r="F301" s="33"/>
      <c r="G301" s="69"/>
      <c r="H301" s="33"/>
      <c r="I301" s="37"/>
      <c r="J301" s="37"/>
      <c r="K301" s="37"/>
      <c r="L301" s="37"/>
      <c r="M301" s="69"/>
      <c r="N301" s="69"/>
      <c r="O301" s="46">
        <v>24.254999999999999</v>
      </c>
      <c r="P301" s="29" t="s">
        <v>1410</v>
      </c>
      <c r="Q301" s="30">
        <f>25.9-2.9</f>
        <v>23</v>
      </c>
      <c r="R301" s="30" t="s">
        <v>1411</v>
      </c>
      <c r="S301" s="31">
        <v>26</v>
      </c>
      <c r="T301" s="31">
        <v>0</v>
      </c>
      <c r="U301" s="31">
        <v>17</v>
      </c>
      <c r="V301" s="31">
        <v>0</v>
      </c>
      <c r="W301" s="30">
        <v>0</v>
      </c>
      <c r="X301" s="614"/>
      <c r="Y301" s="11"/>
    </row>
    <row r="302" spans="1:25" ht="20.100000000000001" customHeight="1" x14ac:dyDescent="0.2">
      <c r="A302" s="621" t="s">
        <v>1412</v>
      </c>
      <c r="B302" s="24" t="s">
        <v>1413</v>
      </c>
      <c r="C302" s="25" t="s">
        <v>848</v>
      </c>
      <c r="D302" s="674" t="s">
        <v>1414</v>
      </c>
      <c r="E302" s="608"/>
      <c r="F302" s="33"/>
      <c r="G302" s="69"/>
      <c r="H302" s="33"/>
      <c r="I302" s="37"/>
      <c r="J302" s="37"/>
      <c r="K302" s="37"/>
      <c r="L302" s="37"/>
      <c r="M302" s="69"/>
      <c r="N302" s="69"/>
      <c r="O302" s="46">
        <v>2.2010000000000001</v>
      </c>
      <c r="P302" s="29" t="s">
        <v>1413</v>
      </c>
      <c r="Q302" s="30"/>
      <c r="R302" s="30"/>
      <c r="S302" s="31"/>
      <c r="T302" s="31"/>
      <c r="U302" s="31"/>
      <c r="V302" s="31"/>
      <c r="W302" s="30"/>
      <c r="X302" s="614"/>
      <c r="Y302" s="11"/>
    </row>
    <row r="303" spans="1:25" ht="20.100000000000001" customHeight="1" x14ac:dyDescent="0.2">
      <c r="A303" s="621" t="s">
        <v>1416</v>
      </c>
      <c r="B303" s="24" t="s">
        <v>1417</v>
      </c>
      <c r="C303" s="25" t="s">
        <v>1198</v>
      </c>
      <c r="D303" s="674" t="s">
        <v>1418</v>
      </c>
      <c r="E303" s="608"/>
      <c r="F303" s="33"/>
      <c r="G303" s="69"/>
      <c r="H303" s="33"/>
      <c r="I303" s="37"/>
      <c r="J303" s="37"/>
      <c r="K303" s="37"/>
      <c r="L303" s="37"/>
      <c r="M303" s="69"/>
      <c r="N303" s="69"/>
      <c r="O303" s="30">
        <v>86.278999999999996</v>
      </c>
      <c r="P303" s="29" t="s">
        <v>1419</v>
      </c>
      <c r="Q303" s="30">
        <f>17.23+(86.5-36.2)</f>
        <v>67.53</v>
      </c>
      <c r="R303" s="30" t="s">
        <v>1420</v>
      </c>
      <c r="S303" s="31">
        <f>56+151</f>
        <v>207</v>
      </c>
      <c r="T303" s="31">
        <v>0</v>
      </c>
      <c r="U303" s="31">
        <v>9</v>
      </c>
      <c r="V303" s="31">
        <v>9</v>
      </c>
      <c r="W303" s="30">
        <v>0</v>
      </c>
      <c r="X303" s="614"/>
      <c r="Y303" s="11"/>
    </row>
    <row r="304" spans="1:25" ht="20.100000000000001" customHeight="1" x14ac:dyDescent="0.2">
      <c r="A304" s="621" t="s">
        <v>1421</v>
      </c>
      <c r="B304" s="24" t="s">
        <v>1422</v>
      </c>
      <c r="C304" s="25" t="s">
        <v>811</v>
      </c>
      <c r="D304" s="674" t="s">
        <v>1423</v>
      </c>
      <c r="E304" s="608"/>
      <c r="F304" s="33"/>
      <c r="G304" s="69"/>
      <c r="H304" s="33"/>
      <c r="I304" s="37"/>
      <c r="J304" s="37"/>
      <c r="K304" s="37"/>
      <c r="L304" s="37"/>
      <c r="M304" s="69"/>
      <c r="N304" s="69"/>
      <c r="O304" s="46">
        <v>38.31</v>
      </c>
      <c r="P304" s="29" t="s">
        <v>1424</v>
      </c>
      <c r="Q304" s="30"/>
      <c r="R304" s="30"/>
      <c r="S304" s="31"/>
      <c r="T304" s="31"/>
      <c r="U304" s="31"/>
      <c r="V304" s="489"/>
      <c r="W304" s="29"/>
      <c r="X304" s="614"/>
      <c r="Y304" s="11"/>
    </row>
    <row r="305" spans="1:25" ht="20.100000000000001" customHeight="1" x14ac:dyDescent="0.2">
      <c r="A305" s="621" t="s">
        <v>1425</v>
      </c>
      <c r="B305" s="24" t="s">
        <v>1426</v>
      </c>
      <c r="C305" s="25" t="s">
        <v>811</v>
      </c>
      <c r="D305" s="674" t="s">
        <v>1427</v>
      </c>
      <c r="E305" s="611">
        <v>20.654</v>
      </c>
      <c r="F305" s="76" t="s">
        <v>1428</v>
      </c>
      <c r="G305" s="79"/>
      <c r="H305" s="76"/>
      <c r="I305" s="78"/>
      <c r="J305" s="78"/>
      <c r="K305" s="78"/>
      <c r="L305" s="78"/>
      <c r="M305" s="76">
        <v>14.2</v>
      </c>
      <c r="N305" s="76" t="s">
        <v>1736</v>
      </c>
      <c r="O305" s="30">
        <v>13.379</v>
      </c>
      <c r="P305" s="29" t="s">
        <v>1820</v>
      </c>
      <c r="Q305" s="30"/>
      <c r="R305" s="30"/>
      <c r="S305" s="31"/>
      <c r="T305" s="31"/>
      <c r="U305" s="31"/>
      <c r="V305" s="489"/>
      <c r="W305" s="29">
        <v>13.4</v>
      </c>
      <c r="X305" s="616" t="s">
        <v>1821</v>
      </c>
      <c r="Y305" s="11"/>
    </row>
    <row r="306" spans="1:25" ht="20.100000000000001" customHeight="1" x14ac:dyDescent="0.2">
      <c r="A306" s="621" t="s">
        <v>1429</v>
      </c>
      <c r="B306" s="24" t="s">
        <v>1430</v>
      </c>
      <c r="C306" s="25" t="s">
        <v>811</v>
      </c>
      <c r="D306" s="674" t="s">
        <v>1431</v>
      </c>
      <c r="E306" s="611">
        <v>1.9380000000000002</v>
      </c>
      <c r="F306" s="124" t="s">
        <v>1433</v>
      </c>
      <c r="G306" s="126"/>
      <c r="H306" s="76"/>
      <c r="I306" s="125"/>
      <c r="J306" s="125"/>
      <c r="K306" s="125"/>
      <c r="L306" s="125"/>
      <c r="M306" s="76">
        <v>1.9380000000000002</v>
      </c>
      <c r="N306" s="76" t="s">
        <v>1433</v>
      </c>
      <c r="O306" s="30">
        <v>0.58499999999999996</v>
      </c>
      <c r="P306" s="29" t="s">
        <v>1432</v>
      </c>
      <c r="Q306" s="29"/>
      <c r="R306" s="30"/>
      <c r="S306" s="68"/>
      <c r="T306" s="68"/>
      <c r="U306" s="68"/>
      <c r="V306" s="496"/>
      <c r="W306" s="29">
        <v>0.58499999999999996</v>
      </c>
      <c r="X306" s="630" t="s">
        <v>1432</v>
      </c>
      <c r="Y306" s="11"/>
    </row>
    <row r="307" spans="1:25" ht="20.100000000000001" customHeight="1" x14ac:dyDescent="0.2">
      <c r="A307" s="621" t="s">
        <v>1434</v>
      </c>
      <c r="B307" s="24" t="s">
        <v>1435</v>
      </c>
      <c r="C307" s="25" t="s">
        <v>848</v>
      </c>
      <c r="D307" s="674" t="s">
        <v>1436</v>
      </c>
      <c r="E307" s="608"/>
      <c r="F307" s="33"/>
      <c r="G307" s="341"/>
      <c r="H307" s="341"/>
      <c r="I307" s="343"/>
      <c r="J307" s="343"/>
      <c r="K307" s="343"/>
      <c r="L307" s="343"/>
      <c r="M307" s="341"/>
      <c r="N307" s="341"/>
      <c r="O307" s="30">
        <v>14.307</v>
      </c>
      <c r="P307" s="29" t="s">
        <v>1437</v>
      </c>
      <c r="Q307" s="30"/>
      <c r="R307" s="30"/>
      <c r="S307" s="31"/>
      <c r="T307" s="31"/>
      <c r="U307" s="31"/>
      <c r="V307" s="31"/>
      <c r="W307" s="30"/>
      <c r="X307" s="614"/>
      <c r="Y307" s="11"/>
    </row>
    <row r="308" spans="1:25" ht="20.100000000000001" customHeight="1" x14ac:dyDescent="0.2">
      <c r="A308" s="621" t="s">
        <v>1438</v>
      </c>
      <c r="B308" s="24" t="s">
        <v>1439</v>
      </c>
      <c r="C308" s="25" t="s">
        <v>848</v>
      </c>
      <c r="D308" s="674" t="s">
        <v>1440</v>
      </c>
      <c r="E308" s="608"/>
      <c r="F308" s="33"/>
      <c r="G308" s="69"/>
      <c r="H308" s="33"/>
      <c r="I308" s="37"/>
      <c r="J308" s="37"/>
      <c r="K308" s="37"/>
      <c r="L308" s="37"/>
      <c r="M308" s="69"/>
      <c r="N308" s="69"/>
      <c r="O308" s="46">
        <v>16.882000000000001</v>
      </c>
      <c r="P308" s="29" t="s">
        <v>1441</v>
      </c>
      <c r="Q308" s="30"/>
      <c r="R308" s="30"/>
      <c r="S308" s="31"/>
      <c r="T308" s="31"/>
      <c r="U308" s="31"/>
      <c r="V308" s="31"/>
      <c r="W308" s="30"/>
      <c r="X308" s="614"/>
      <c r="Y308" s="11"/>
    </row>
    <row r="309" spans="1:25" ht="20.100000000000001" customHeight="1" x14ac:dyDescent="0.2">
      <c r="A309" s="621" t="s">
        <v>1442</v>
      </c>
      <c r="B309" s="24" t="s">
        <v>1443</v>
      </c>
      <c r="C309" s="25" t="s">
        <v>848</v>
      </c>
      <c r="D309" s="674" t="s">
        <v>1444</v>
      </c>
      <c r="E309" s="608"/>
      <c r="F309" s="33"/>
      <c r="G309" s="69"/>
      <c r="H309" s="33"/>
      <c r="I309" s="37"/>
      <c r="J309" s="37"/>
      <c r="K309" s="37"/>
      <c r="L309" s="37"/>
      <c r="M309" s="69"/>
      <c r="N309" s="69"/>
      <c r="O309" s="46">
        <v>20.463999999999999</v>
      </c>
      <c r="P309" s="29" t="s">
        <v>1445</v>
      </c>
      <c r="Q309" s="30"/>
      <c r="R309" s="30"/>
      <c r="S309" s="31"/>
      <c r="T309" s="31"/>
      <c r="U309" s="31"/>
      <c r="V309" s="31"/>
      <c r="W309" s="30"/>
      <c r="X309" s="614"/>
      <c r="Y309" s="11"/>
    </row>
    <row r="310" spans="1:25" ht="26.25" customHeight="1" x14ac:dyDescent="0.2">
      <c r="A310" s="621" t="s">
        <v>1446</v>
      </c>
      <c r="B310" s="24" t="s">
        <v>1447</v>
      </c>
      <c r="C310" s="25" t="s">
        <v>848</v>
      </c>
      <c r="D310" s="674" t="s">
        <v>1840</v>
      </c>
      <c r="E310" s="101">
        <v>27.978999999999999</v>
      </c>
      <c r="F310" s="71" t="s">
        <v>1449</v>
      </c>
      <c r="G310" s="79">
        <v>0</v>
      </c>
      <c r="H310" s="71">
        <v>0</v>
      </c>
      <c r="I310" s="78">
        <v>0</v>
      </c>
      <c r="J310" s="78">
        <v>0</v>
      </c>
      <c r="K310" s="78">
        <v>0</v>
      </c>
      <c r="L310" s="78">
        <v>0</v>
      </c>
      <c r="M310" s="79">
        <v>0</v>
      </c>
      <c r="N310" s="76">
        <v>0</v>
      </c>
      <c r="O310" s="80"/>
      <c r="P310" s="27"/>
      <c r="Q310" s="80"/>
      <c r="R310" s="80"/>
      <c r="S310" s="81"/>
      <c r="T310" s="81"/>
      <c r="U310" s="81"/>
      <c r="V310" s="81"/>
      <c r="W310" s="80"/>
      <c r="X310" s="627"/>
      <c r="Y310" s="11"/>
    </row>
    <row r="311" spans="1:25" ht="24" customHeight="1" x14ac:dyDescent="0.2">
      <c r="A311" s="621" t="s">
        <v>1451</v>
      </c>
      <c r="B311" s="24" t="s">
        <v>1452</v>
      </c>
      <c r="C311" s="25" t="s">
        <v>848</v>
      </c>
      <c r="D311" s="674" t="s">
        <v>1841</v>
      </c>
      <c r="E311" s="101">
        <v>28.806999999999999</v>
      </c>
      <c r="F311" s="71" t="s">
        <v>1454</v>
      </c>
      <c r="G311" s="78">
        <f>115.42-100.9</f>
        <v>14.519999999999996</v>
      </c>
      <c r="H311" s="71" t="s">
        <v>1455</v>
      </c>
      <c r="I311" s="78">
        <v>30</v>
      </c>
      <c r="J311" s="78">
        <v>0</v>
      </c>
      <c r="K311" s="78">
        <v>30</v>
      </c>
      <c r="L311" s="78">
        <v>0</v>
      </c>
      <c r="M311" s="79">
        <f>100.9-86.719</f>
        <v>14.181000000000012</v>
      </c>
      <c r="N311" s="76" t="s">
        <v>1456</v>
      </c>
      <c r="O311" s="80"/>
      <c r="P311" s="27"/>
      <c r="Q311" s="80"/>
      <c r="R311" s="80"/>
      <c r="S311" s="81"/>
      <c r="T311" s="81"/>
      <c r="U311" s="81"/>
      <c r="V311" s="81"/>
      <c r="W311" s="80"/>
      <c r="X311" s="627"/>
      <c r="Y311" s="11"/>
    </row>
    <row r="312" spans="1:25" ht="20.100000000000001" customHeight="1" x14ac:dyDescent="0.2">
      <c r="A312" s="621" t="s">
        <v>1458</v>
      </c>
      <c r="B312" s="24" t="s">
        <v>1776</v>
      </c>
      <c r="C312" s="25" t="s">
        <v>848</v>
      </c>
      <c r="D312" s="674" t="s">
        <v>1459</v>
      </c>
      <c r="E312" s="608"/>
      <c r="F312" s="33"/>
      <c r="G312" s="69"/>
      <c r="H312" s="33"/>
      <c r="I312" s="37"/>
      <c r="J312" s="37"/>
      <c r="K312" s="37"/>
      <c r="L312" s="37"/>
      <c r="M312" s="69"/>
      <c r="N312" s="69"/>
      <c r="O312" s="46">
        <v>25.693999999999999</v>
      </c>
      <c r="P312" s="29" t="s">
        <v>1460</v>
      </c>
      <c r="Q312" s="30">
        <v>0</v>
      </c>
      <c r="R312" s="30">
        <v>0</v>
      </c>
      <c r="S312" s="31">
        <v>0</v>
      </c>
      <c r="T312" s="31">
        <v>0</v>
      </c>
      <c r="U312" s="31">
        <v>0</v>
      </c>
      <c r="V312" s="31">
        <v>0</v>
      </c>
      <c r="W312" s="30">
        <v>25.693999999999999</v>
      </c>
      <c r="X312" s="614"/>
      <c r="Y312" s="11"/>
    </row>
    <row r="313" spans="1:25" ht="20.100000000000001" customHeight="1" x14ac:dyDescent="0.2">
      <c r="A313" s="621" t="s">
        <v>1461</v>
      </c>
      <c r="B313" s="24" t="s">
        <v>1462</v>
      </c>
      <c r="C313" s="25" t="s">
        <v>848</v>
      </c>
      <c r="D313" s="674" t="s">
        <v>1463</v>
      </c>
      <c r="E313" s="608"/>
      <c r="F313" s="33"/>
      <c r="G313" s="69"/>
      <c r="H313" s="33"/>
      <c r="I313" s="37"/>
      <c r="J313" s="37"/>
      <c r="K313" s="37"/>
      <c r="L313" s="37"/>
      <c r="M313" s="69"/>
      <c r="N313" s="69"/>
      <c r="O313" s="46">
        <v>7.4859999999999998</v>
      </c>
      <c r="P313" s="29" t="s">
        <v>1464</v>
      </c>
      <c r="Q313" s="30"/>
      <c r="R313" s="30"/>
      <c r="S313" s="31"/>
      <c r="T313" s="31"/>
      <c r="U313" s="31"/>
      <c r="V313" s="31"/>
      <c r="W313" s="30"/>
      <c r="X313" s="614"/>
      <c r="Y313" s="11"/>
    </row>
    <row r="314" spans="1:25" ht="20.100000000000001" customHeight="1" x14ac:dyDescent="0.2">
      <c r="A314" s="621" t="s">
        <v>1465</v>
      </c>
      <c r="B314" s="24" t="s">
        <v>1466</v>
      </c>
      <c r="C314" s="25" t="s">
        <v>848</v>
      </c>
      <c r="D314" s="674" t="s">
        <v>1467</v>
      </c>
      <c r="E314" s="101">
        <v>22.574000000000002</v>
      </c>
      <c r="F314" s="71" t="s">
        <v>1468</v>
      </c>
      <c r="G314" s="79">
        <f>24.8-2.726</f>
        <v>22.074000000000002</v>
      </c>
      <c r="H314" s="71" t="s">
        <v>1469</v>
      </c>
      <c r="I314" s="78">
        <v>46</v>
      </c>
      <c r="J314" s="78">
        <v>0</v>
      </c>
      <c r="K314" s="78">
        <v>40</v>
      </c>
      <c r="L314" s="78">
        <v>0</v>
      </c>
      <c r="M314" s="79">
        <f>25.3-24.8</f>
        <v>0.5</v>
      </c>
      <c r="N314" s="71" t="s">
        <v>1470</v>
      </c>
      <c r="O314" s="80"/>
      <c r="P314" s="27"/>
      <c r="Q314" s="80"/>
      <c r="R314" s="80"/>
      <c r="S314" s="81"/>
      <c r="T314" s="81"/>
      <c r="U314" s="81"/>
      <c r="V314" s="81"/>
      <c r="W314" s="80"/>
      <c r="X314" s="627"/>
      <c r="Y314" s="11"/>
    </row>
    <row r="315" spans="1:25" ht="20.100000000000001" customHeight="1" x14ac:dyDescent="0.2">
      <c r="A315" s="621" t="s">
        <v>1471</v>
      </c>
      <c r="B315" s="24" t="s">
        <v>1472</v>
      </c>
      <c r="C315" s="25" t="s">
        <v>848</v>
      </c>
      <c r="D315" s="674" t="s">
        <v>1473</v>
      </c>
      <c r="E315" s="611">
        <v>7.4839999999999982</v>
      </c>
      <c r="F315" s="71" t="s">
        <v>1474</v>
      </c>
      <c r="G315" s="79">
        <v>3.1</v>
      </c>
      <c r="H315" s="71" t="s">
        <v>1475</v>
      </c>
      <c r="I315" s="78">
        <v>6</v>
      </c>
      <c r="J315" s="78">
        <v>0</v>
      </c>
      <c r="K315" s="78">
        <v>0</v>
      </c>
      <c r="L315" s="78">
        <v>0</v>
      </c>
      <c r="M315" s="71">
        <f>22.7-20.6+28.084-26.4</f>
        <v>3.7839999999999989</v>
      </c>
      <c r="N315" s="71" t="s">
        <v>1476</v>
      </c>
      <c r="O315" s="80"/>
      <c r="P315" s="27"/>
      <c r="Q315" s="27"/>
      <c r="R315" s="27"/>
      <c r="S315" s="37"/>
      <c r="T315" s="37"/>
      <c r="U315" s="37"/>
      <c r="V315" s="37"/>
      <c r="W315" s="27"/>
      <c r="X315" s="629"/>
      <c r="Y315" s="11"/>
    </row>
    <row r="316" spans="1:25" ht="20.100000000000001" customHeight="1" x14ac:dyDescent="0.2">
      <c r="A316" s="621" t="s">
        <v>1477</v>
      </c>
      <c r="B316" s="24" t="s">
        <v>1478</v>
      </c>
      <c r="C316" s="25" t="s">
        <v>848</v>
      </c>
      <c r="D316" s="674" t="s">
        <v>1479</v>
      </c>
      <c r="E316" s="608"/>
      <c r="F316" s="33"/>
      <c r="G316" s="69"/>
      <c r="H316" s="33"/>
      <c r="I316" s="37"/>
      <c r="J316" s="37"/>
      <c r="K316" s="37"/>
      <c r="L316" s="37"/>
      <c r="M316" s="69"/>
      <c r="N316" s="69"/>
      <c r="O316" s="30">
        <v>14.845000000000001</v>
      </c>
      <c r="P316" s="29" t="s">
        <v>1480</v>
      </c>
      <c r="Q316" s="30">
        <v>0</v>
      </c>
      <c r="R316" s="30">
        <v>0</v>
      </c>
      <c r="S316" s="31">
        <v>0</v>
      </c>
      <c r="T316" s="31">
        <v>0</v>
      </c>
      <c r="U316" s="31">
        <v>0</v>
      </c>
      <c r="V316" s="31">
        <v>0</v>
      </c>
      <c r="W316" s="30">
        <v>0</v>
      </c>
      <c r="X316" s="616">
        <v>0</v>
      </c>
      <c r="Y316" s="11"/>
    </row>
    <row r="317" spans="1:25" ht="20.100000000000001" customHeight="1" x14ac:dyDescent="0.2">
      <c r="A317" s="621" t="s">
        <v>1481</v>
      </c>
      <c r="B317" s="24" t="s">
        <v>1482</v>
      </c>
      <c r="C317" s="25" t="s">
        <v>848</v>
      </c>
      <c r="D317" s="674" t="s">
        <v>1483</v>
      </c>
      <c r="E317" s="608"/>
      <c r="F317" s="33"/>
      <c r="G317" s="69"/>
      <c r="H317" s="33"/>
      <c r="I317" s="37"/>
      <c r="J317" s="37"/>
      <c r="K317" s="37"/>
      <c r="L317" s="37"/>
      <c r="M317" s="69"/>
      <c r="N317" s="69"/>
      <c r="O317" s="30">
        <v>9.2740000000000009</v>
      </c>
      <c r="P317" s="29" t="s">
        <v>1484</v>
      </c>
      <c r="Q317" s="30">
        <v>0</v>
      </c>
      <c r="R317" s="30">
        <v>0</v>
      </c>
      <c r="S317" s="31">
        <v>0</v>
      </c>
      <c r="T317" s="31">
        <v>0</v>
      </c>
      <c r="U317" s="31">
        <v>0</v>
      </c>
      <c r="V317" s="31">
        <v>0</v>
      </c>
      <c r="W317" s="30">
        <v>0</v>
      </c>
      <c r="X317" s="616">
        <v>0</v>
      </c>
      <c r="Y317" s="11"/>
    </row>
    <row r="318" spans="1:25" ht="20.100000000000001" customHeight="1" x14ac:dyDescent="0.2">
      <c r="A318" s="621" t="s">
        <v>1485</v>
      </c>
      <c r="B318" s="24" t="s">
        <v>1486</v>
      </c>
      <c r="C318" s="25" t="s">
        <v>731</v>
      </c>
      <c r="D318" s="674" t="s">
        <v>1487</v>
      </c>
      <c r="E318" s="611">
        <v>4.9269999999999996</v>
      </c>
      <c r="F318" s="71" t="s">
        <v>1488</v>
      </c>
      <c r="G318" s="79"/>
      <c r="H318" s="124"/>
      <c r="I318" s="78"/>
      <c r="J318" s="78"/>
      <c r="K318" s="78"/>
      <c r="L318" s="78"/>
      <c r="M318" s="79">
        <f>6.207-1.28</f>
        <v>4.9269999999999996</v>
      </c>
      <c r="N318" s="79" t="s">
        <v>1488</v>
      </c>
      <c r="O318" s="80">
        <v>0</v>
      </c>
      <c r="P318" s="27"/>
      <c r="Q318" s="49"/>
      <c r="R318" s="49"/>
      <c r="S318" s="50"/>
      <c r="T318" s="50"/>
      <c r="U318" s="50"/>
      <c r="V318" s="50"/>
      <c r="W318" s="49"/>
      <c r="X318" s="632"/>
      <c r="Y318" s="11"/>
    </row>
    <row r="319" spans="1:25" ht="52.5" x14ac:dyDescent="0.2">
      <c r="A319" s="621" t="s">
        <v>1489</v>
      </c>
      <c r="B319" s="24" t="s">
        <v>1490</v>
      </c>
      <c r="C319" s="25" t="s">
        <v>1365</v>
      </c>
      <c r="D319" s="674" t="s">
        <v>1491</v>
      </c>
      <c r="E319" s="611">
        <v>161.767</v>
      </c>
      <c r="F319" s="76" t="s">
        <v>1493</v>
      </c>
      <c r="G319" s="79">
        <v>38.6</v>
      </c>
      <c r="H319" s="79" t="s">
        <v>1737</v>
      </c>
      <c r="I319" s="78">
        <v>25</v>
      </c>
      <c r="J319" s="78">
        <v>3</v>
      </c>
      <c r="K319" s="78">
        <v>28</v>
      </c>
      <c r="L319" s="78">
        <v>4</v>
      </c>
      <c r="M319" s="79">
        <v>71.400000000000006</v>
      </c>
      <c r="N319" s="79" t="s">
        <v>1738</v>
      </c>
      <c r="O319" s="80">
        <v>0</v>
      </c>
      <c r="P319" s="129"/>
      <c r="Q319" s="130"/>
      <c r="R319" s="130"/>
      <c r="S319" s="131"/>
      <c r="T319" s="131"/>
      <c r="U319" s="131"/>
      <c r="V319" s="131"/>
      <c r="W319" s="130"/>
      <c r="X319" s="647"/>
      <c r="Y319" s="11"/>
    </row>
    <row r="320" spans="1:25" ht="20.100000000000001" customHeight="1" x14ac:dyDescent="0.2">
      <c r="A320" s="621" t="s">
        <v>1495</v>
      </c>
      <c r="B320" s="24" t="s">
        <v>1496</v>
      </c>
      <c r="C320" s="25" t="s">
        <v>731</v>
      </c>
      <c r="D320" s="674" t="s">
        <v>1497</v>
      </c>
      <c r="E320" s="109">
        <v>1.74</v>
      </c>
      <c r="F320" s="71" t="s">
        <v>1498</v>
      </c>
      <c r="G320" s="78"/>
      <c r="H320" s="71"/>
      <c r="I320" s="78"/>
      <c r="J320" s="78"/>
      <c r="K320" s="78"/>
      <c r="L320" s="78"/>
      <c r="M320" s="79">
        <f>2.468-0.728</f>
        <v>1.74</v>
      </c>
      <c r="N320" s="78" t="s">
        <v>1498</v>
      </c>
      <c r="O320" s="80">
        <v>0</v>
      </c>
      <c r="P320" s="27"/>
      <c r="Q320" s="91"/>
      <c r="R320" s="91"/>
      <c r="S320" s="92"/>
      <c r="T320" s="92"/>
      <c r="U320" s="92"/>
      <c r="V320" s="92"/>
      <c r="W320" s="91"/>
      <c r="X320" s="631"/>
      <c r="Y320" s="11"/>
    </row>
    <row r="321" spans="1:25" ht="20.100000000000001" customHeight="1" x14ac:dyDescent="0.2">
      <c r="A321" s="621" t="s">
        <v>1500</v>
      </c>
      <c r="B321" s="39" t="s">
        <v>1501</v>
      </c>
      <c r="C321" s="25" t="s">
        <v>731</v>
      </c>
      <c r="D321" s="674" t="s">
        <v>1502</v>
      </c>
      <c r="E321" s="611">
        <v>2.9539999999999988</v>
      </c>
      <c r="F321" s="72" t="s">
        <v>1503</v>
      </c>
      <c r="G321" s="74"/>
      <c r="H321" s="72"/>
      <c r="I321" s="73"/>
      <c r="J321" s="73"/>
      <c r="K321" s="73"/>
      <c r="L321" s="73"/>
      <c r="M321" s="74">
        <f>80.229-78.128+0.853</f>
        <v>2.9539999999999988</v>
      </c>
      <c r="N321" s="74" t="s">
        <v>1503</v>
      </c>
      <c r="O321" s="80">
        <v>0</v>
      </c>
      <c r="P321" s="27"/>
      <c r="Q321" s="49"/>
      <c r="R321" s="49"/>
      <c r="S321" s="50"/>
      <c r="T321" s="50"/>
      <c r="U321" s="50"/>
      <c r="V321" s="50"/>
      <c r="W321" s="49"/>
      <c r="X321" s="632"/>
      <c r="Y321" s="11"/>
    </row>
    <row r="322" spans="1:25" ht="20.100000000000001" customHeight="1" x14ac:dyDescent="0.2">
      <c r="A322" s="621" t="s">
        <v>1504</v>
      </c>
      <c r="B322" s="24" t="s">
        <v>1505</v>
      </c>
      <c r="C322" s="25" t="s">
        <v>731</v>
      </c>
      <c r="D322" s="674" t="s">
        <v>1506</v>
      </c>
      <c r="E322" s="101">
        <v>5.0069999999999997</v>
      </c>
      <c r="F322" s="71" t="s">
        <v>1507</v>
      </c>
      <c r="G322" s="79"/>
      <c r="H322" s="79"/>
      <c r="I322" s="78"/>
      <c r="J322" s="78"/>
      <c r="K322" s="78"/>
      <c r="L322" s="78"/>
      <c r="M322" s="79">
        <v>5.0069999999999997</v>
      </c>
      <c r="N322" s="79" t="s">
        <v>1507</v>
      </c>
      <c r="O322" s="80">
        <v>0</v>
      </c>
      <c r="P322" s="27"/>
      <c r="Q322" s="91"/>
      <c r="R322" s="91"/>
      <c r="S322" s="92"/>
      <c r="T322" s="92"/>
      <c r="U322" s="92"/>
      <c r="V322" s="92"/>
      <c r="W322" s="91"/>
      <c r="X322" s="631"/>
      <c r="Y322" s="11"/>
    </row>
    <row r="323" spans="1:25" ht="20.100000000000001" customHeight="1" x14ac:dyDescent="0.2">
      <c r="A323" s="621" t="s">
        <v>1508</v>
      </c>
      <c r="B323" s="24" t="s">
        <v>1509</v>
      </c>
      <c r="C323" s="25" t="s">
        <v>811</v>
      </c>
      <c r="D323" s="674" t="s">
        <v>1510</v>
      </c>
      <c r="E323" s="608"/>
      <c r="F323" s="33"/>
      <c r="G323" s="69"/>
      <c r="H323" s="33"/>
      <c r="I323" s="37"/>
      <c r="J323" s="37"/>
      <c r="K323" s="37"/>
      <c r="L323" s="37"/>
      <c r="M323" s="69"/>
      <c r="N323" s="69"/>
      <c r="O323" s="30">
        <v>5.4270000000000005</v>
      </c>
      <c r="P323" s="29" t="s">
        <v>1511</v>
      </c>
      <c r="Q323" s="30"/>
      <c r="R323" s="30"/>
      <c r="S323" s="31"/>
      <c r="T323" s="31"/>
      <c r="U323" s="31"/>
      <c r="V323" s="489"/>
      <c r="W323" s="29">
        <v>2.7</v>
      </c>
      <c r="X323" s="630" t="s">
        <v>1511</v>
      </c>
      <c r="Y323" s="11"/>
    </row>
    <row r="324" spans="1:25" ht="20.100000000000001" customHeight="1" x14ac:dyDescent="0.2">
      <c r="A324" s="621" t="s">
        <v>1512</v>
      </c>
      <c r="B324" s="24" t="s">
        <v>1513</v>
      </c>
      <c r="C324" s="25" t="s">
        <v>811</v>
      </c>
      <c r="D324" s="674" t="s">
        <v>1514</v>
      </c>
      <c r="E324" s="609">
        <v>9.6630000000000003</v>
      </c>
      <c r="F324" s="102" t="s">
        <v>1515</v>
      </c>
      <c r="G324" s="104">
        <v>8.8000000000000007</v>
      </c>
      <c r="H324" s="102" t="s">
        <v>1516</v>
      </c>
      <c r="I324" s="103">
        <v>12</v>
      </c>
      <c r="J324" s="103">
        <v>1</v>
      </c>
      <c r="K324" s="103">
        <v>4</v>
      </c>
      <c r="L324" s="103">
        <v>0</v>
      </c>
      <c r="M324" s="104">
        <v>0</v>
      </c>
      <c r="N324" s="104"/>
      <c r="O324" s="80">
        <v>0</v>
      </c>
      <c r="P324" s="36"/>
      <c r="Q324" s="36"/>
      <c r="R324" s="36"/>
      <c r="S324" s="37"/>
      <c r="T324" s="37"/>
      <c r="U324" s="37"/>
      <c r="V324" s="34"/>
      <c r="W324" s="36"/>
      <c r="X324" s="634"/>
      <c r="Y324" s="11"/>
    </row>
    <row r="325" spans="1:25" ht="20.100000000000001" customHeight="1" x14ac:dyDescent="0.2">
      <c r="A325" s="621" t="s">
        <v>1517</v>
      </c>
      <c r="B325" s="24" t="s">
        <v>1518</v>
      </c>
      <c r="C325" s="25" t="s">
        <v>811</v>
      </c>
      <c r="D325" s="674" t="s">
        <v>1519</v>
      </c>
      <c r="E325" s="608"/>
      <c r="F325" s="33"/>
      <c r="G325" s="69"/>
      <c r="H325" s="33"/>
      <c r="I325" s="37"/>
      <c r="J325" s="37"/>
      <c r="K325" s="37"/>
      <c r="L325" s="37"/>
      <c r="M325" s="69"/>
      <c r="N325" s="69"/>
      <c r="O325" s="30">
        <v>18.100999999999999</v>
      </c>
      <c r="P325" s="29" t="s">
        <v>1520</v>
      </c>
      <c r="Q325" s="30"/>
      <c r="R325" s="30"/>
      <c r="S325" s="31"/>
      <c r="T325" s="31"/>
      <c r="U325" s="31"/>
      <c r="V325" s="489"/>
      <c r="W325" s="29">
        <v>18.100999999999999</v>
      </c>
      <c r="X325" s="630" t="s">
        <v>1520</v>
      </c>
      <c r="Y325" s="11"/>
    </row>
    <row r="326" spans="1:25" ht="20.100000000000001" customHeight="1" x14ac:dyDescent="0.2">
      <c r="A326" s="621" t="s">
        <v>1521</v>
      </c>
      <c r="B326" s="24" t="s">
        <v>1522</v>
      </c>
      <c r="C326" s="25" t="s">
        <v>811</v>
      </c>
      <c r="D326" s="674" t="s">
        <v>1523</v>
      </c>
      <c r="E326" s="609">
        <v>5.8870000000000005</v>
      </c>
      <c r="F326" s="124" t="s">
        <v>1525</v>
      </c>
      <c r="G326" s="126"/>
      <c r="H326" s="124"/>
      <c r="I326" s="125"/>
      <c r="J326" s="125"/>
      <c r="K326" s="125"/>
      <c r="L326" s="125"/>
      <c r="M326" s="126">
        <v>7.4</v>
      </c>
      <c r="N326" s="124" t="s">
        <v>1740</v>
      </c>
      <c r="O326" s="46">
        <v>37.6</v>
      </c>
      <c r="P326" s="40" t="s">
        <v>1524</v>
      </c>
      <c r="Q326" s="40"/>
      <c r="R326" s="40"/>
      <c r="S326" s="70"/>
      <c r="T326" s="70"/>
      <c r="U326" s="70"/>
      <c r="V326" s="556"/>
      <c r="W326" s="28">
        <v>37.6</v>
      </c>
      <c r="X326" s="637" t="s">
        <v>1524</v>
      </c>
      <c r="Y326" s="11"/>
    </row>
    <row r="327" spans="1:25" ht="20.100000000000001" customHeight="1" x14ac:dyDescent="0.2">
      <c r="A327" s="621" t="s">
        <v>1527</v>
      </c>
      <c r="B327" s="24" t="s">
        <v>1528</v>
      </c>
      <c r="C327" s="25" t="s">
        <v>811</v>
      </c>
      <c r="D327" s="674" t="s">
        <v>1529</v>
      </c>
      <c r="E327" s="611">
        <v>15.458</v>
      </c>
      <c r="F327" s="76" t="s">
        <v>1532</v>
      </c>
      <c r="G327" s="79"/>
      <c r="H327" s="76"/>
      <c r="I327" s="78"/>
      <c r="J327" s="78"/>
      <c r="K327" s="78"/>
      <c r="L327" s="78"/>
      <c r="M327" s="79">
        <v>16.5</v>
      </c>
      <c r="N327" s="76" t="s">
        <v>1741</v>
      </c>
      <c r="O327" s="46">
        <v>4.2779999999999987</v>
      </c>
      <c r="P327" s="120" t="s">
        <v>1531</v>
      </c>
      <c r="Q327" s="121"/>
      <c r="R327" s="121"/>
      <c r="S327" s="122"/>
      <c r="T327" s="122"/>
      <c r="U327" s="122"/>
      <c r="V327" s="557"/>
      <c r="W327" s="28">
        <v>4.2779999999999987</v>
      </c>
      <c r="X327" s="640" t="s">
        <v>1531</v>
      </c>
      <c r="Y327" s="11"/>
    </row>
    <row r="328" spans="1:25" ht="20.100000000000001" customHeight="1" x14ac:dyDescent="0.2">
      <c r="A328" s="621" t="s">
        <v>1534</v>
      </c>
      <c r="B328" s="24" t="s">
        <v>1535</v>
      </c>
      <c r="C328" s="25" t="s">
        <v>811</v>
      </c>
      <c r="D328" s="674" t="s">
        <v>1536</v>
      </c>
      <c r="E328" s="663"/>
      <c r="F328" s="82"/>
      <c r="G328" s="51"/>
      <c r="H328" s="82"/>
      <c r="I328" s="50"/>
      <c r="J328" s="50"/>
      <c r="K328" s="50"/>
      <c r="L328" s="50"/>
      <c r="M328" s="51"/>
      <c r="N328" s="51"/>
      <c r="O328" s="46">
        <v>6.1509999999999998</v>
      </c>
      <c r="P328" s="105" t="s">
        <v>1537</v>
      </c>
      <c r="Q328" s="106"/>
      <c r="R328" s="106"/>
      <c r="S328" s="107"/>
      <c r="T328" s="107"/>
      <c r="U328" s="107"/>
      <c r="V328" s="544"/>
      <c r="W328" s="28">
        <v>6.1509999999999998</v>
      </c>
      <c r="X328" s="641" t="s">
        <v>1537</v>
      </c>
      <c r="Y328" s="11"/>
    </row>
    <row r="329" spans="1:25" ht="20.100000000000001" customHeight="1" x14ac:dyDescent="0.2">
      <c r="A329" s="621" t="s">
        <v>1538</v>
      </c>
      <c r="B329" s="24" t="s">
        <v>1539</v>
      </c>
      <c r="C329" s="25" t="s">
        <v>811</v>
      </c>
      <c r="D329" s="674" t="s">
        <v>1540</v>
      </c>
      <c r="E329" s="611">
        <v>19.276</v>
      </c>
      <c r="F329" s="76" t="s">
        <v>1542</v>
      </c>
      <c r="G329" s="79">
        <v>24.576000000000001</v>
      </c>
      <c r="H329" s="76" t="s">
        <v>1739</v>
      </c>
      <c r="I329" s="78">
        <v>14</v>
      </c>
      <c r="J329" s="78">
        <v>0</v>
      </c>
      <c r="K329" s="78">
        <v>1</v>
      </c>
      <c r="L329" s="78">
        <v>0</v>
      </c>
      <c r="M329" s="104">
        <v>0</v>
      </c>
      <c r="N329" s="79"/>
      <c r="O329" s="46">
        <v>5.3</v>
      </c>
      <c r="P329" s="105" t="s">
        <v>1541</v>
      </c>
      <c r="Q329" s="106"/>
      <c r="R329" s="106"/>
      <c r="S329" s="107"/>
      <c r="T329" s="107"/>
      <c r="U329" s="107"/>
      <c r="V329" s="544"/>
      <c r="W329" s="28">
        <v>5.3</v>
      </c>
      <c r="X329" s="641" t="s">
        <v>1541</v>
      </c>
      <c r="Y329" s="11"/>
    </row>
    <row r="330" spans="1:25" ht="20.100000000000001" customHeight="1" x14ac:dyDescent="0.2">
      <c r="A330" s="621" t="s">
        <v>1543</v>
      </c>
      <c r="B330" s="498" t="s">
        <v>1544</v>
      </c>
      <c r="C330" s="25" t="s">
        <v>731</v>
      </c>
      <c r="D330" s="674" t="s">
        <v>1545</v>
      </c>
      <c r="E330" s="611">
        <v>14.19</v>
      </c>
      <c r="F330" s="71" t="s">
        <v>1546</v>
      </c>
      <c r="G330" s="79"/>
      <c r="H330" s="71"/>
      <c r="I330" s="78"/>
      <c r="J330" s="78"/>
      <c r="K330" s="78"/>
      <c r="L330" s="78"/>
      <c r="M330" s="79"/>
      <c r="N330" s="79"/>
      <c r="O330" s="593"/>
      <c r="P330" s="133"/>
      <c r="Q330" s="132"/>
      <c r="R330" s="132"/>
      <c r="S330" s="134"/>
      <c r="T330" s="134"/>
      <c r="U330" s="134"/>
      <c r="V330" s="134"/>
      <c r="W330" s="132"/>
      <c r="X330" s="648"/>
      <c r="Y330" s="11"/>
    </row>
    <row r="331" spans="1:25" ht="30.75" customHeight="1" x14ac:dyDescent="0.2">
      <c r="A331" s="621" t="s">
        <v>1547</v>
      </c>
      <c r="B331" s="24" t="s">
        <v>1548</v>
      </c>
      <c r="C331" s="25" t="s">
        <v>1365</v>
      </c>
      <c r="D331" s="674" t="s">
        <v>1549</v>
      </c>
      <c r="E331" s="611">
        <v>57.866</v>
      </c>
      <c r="F331" s="76" t="s">
        <v>1552</v>
      </c>
      <c r="G331" s="61"/>
      <c r="H331" s="59"/>
      <c r="I331" s="78"/>
      <c r="J331" s="78"/>
      <c r="K331" s="78"/>
      <c r="L331" s="78"/>
      <c r="M331" s="79">
        <v>8.1999999999999993</v>
      </c>
      <c r="N331" s="79" t="s">
        <v>1697</v>
      </c>
      <c r="O331" s="46">
        <v>45.1</v>
      </c>
      <c r="P331" s="29" t="s">
        <v>1551</v>
      </c>
      <c r="Q331" s="28"/>
      <c r="R331" s="28"/>
      <c r="S331" s="48"/>
      <c r="T331" s="48"/>
      <c r="U331" s="48"/>
      <c r="V331" s="48"/>
      <c r="W331" s="481">
        <v>19</v>
      </c>
      <c r="X331" s="618" t="s">
        <v>1696</v>
      </c>
      <c r="Y331" s="11"/>
    </row>
    <row r="332" spans="1:25" ht="20.100000000000001" customHeight="1" x14ac:dyDescent="0.2">
      <c r="A332" s="621" t="s">
        <v>1554</v>
      </c>
      <c r="B332" s="498" t="s">
        <v>1555</v>
      </c>
      <c r="C332" s="25" t="s">
        <v>731</v>
      </c>
      <c r="D332" s="674" t="s">
        <v>1556</v>
      </c>
      <c r="E332" s="611">
        <v>3.9180000000000001</v>
      </c>
      <c r="F332" s="59" t="s">
        <v>1558</v>
      </c>
      <c r="G332" s="61"/>
      <c r="H332" s="59"/>
      <c r="I332" s="60"/>
      <c r="J332" s="60"/>
      <c r="K332" s="60"/>
      <c r="L332" s="60"/>
      <c r="M332" s="61">
        <v>2</v>
      </c>
      <c r="N332" s="61" t="s">
        <v>1686</v>
      </c>
      <c r="O332" s="46">
        <v>0.64999999999999991</v>
      </c>
      <c r="P332" s="28" t="s">
        <v>1557</v>
      </c>
      <c r="Q332" s="28"/>
      <c r="R332" s="28"/>
      <c r="S332" s="48"/>
      <c r="T332" s="48"/>
      <c r="U332" s="48"/>
      <c r="V332" s="48"/>
      <c r="W332" s="481">
        <v>0.5</v>
      </c>
      <c r="X332" s="618" t="s">
        <v>1685</v>
      </c>
      <c r="Y332" s="11"/>
    </row>
    <row r="333" spans="1:25" ht="20.100000000000001" customHeight="1" x14ac:dyDescent="0.2">
      <c r="A333" s="621" t="s">
        <v>1559</v>
      </c>
      <c r="B333" s="498" t="s">
        <v>1560</v>
      </c>
      <c r="C333" s="25" t="s">
        <v>731</v>
      </c>
      <c r="D333" s="674" t="s">
        <v>1561</v>
      </c>
      <c r="E333" s="611">
        <v>2.3420000000000001</v>
      </c>
      <c r="F333" s="59" t="s">
        <v>1563</v>
      </c>
      <c r="G333" s="61"/>
      <c r="H333" s="59"/>
      <c r="I333" s="60"/>
      <c r="J333" s="60"/>
      <c r="K333" s="60"/>
      <c r="L333" s="60"/>
      <c r="M333" s="61">
        <f>3.009-0.667</f>
        <v>2.3419999999999996</v>
      </c>
      <c r="N333" s="61" t="s">
        <v>1563</v>
      </c>
      <c r="O333" s="80"/>
      <c r="P333" s="27"/>
      <c r="Q333" s="49"/>
      <c r="R333" s="49"/>
      <c r="S333" s="50"/>
      <c r="T333" s="50"/>
      <c r="U333" s="50"/>
      <c r="V333" s="50"/>
      <c r="W333" s="49"/>
      <c r="X333" s="632"/>
      <c r="Y333" s="11"/>
    </row>
    <row r="334" spans="1:25" ht="20.100000000000001" customHeight="1" x14ac:dyDescent="0.2">
      <c r="A334" s="621" t="s">
        <v>1564</v>
      </c>
      <c r="B334" s="24" t="s">
        <v>1565</v>
      </c>
      <c r="C334" s="25" t="s">
        <v>811</v>
      </c>
      <c r="D334" s="674" t="s">
        <v>1566</v>
      </c>
      <c r="E334" s="608"/>
      <c r="F334" s="33"/>
      <c r="G334" s="69"/>
      <c r="H334" s="33"/>
      <c r="I334" s="37"/>
      <c r="J334" s="37"/>
      <c r="K334" s="37"/>
      <c r="L334" s="37"/>
      <c r="M334" s="69"/>
      <c r="N334" s="69"/>
      <c r="O334" s="46">
        <v>24.702999999999999</v>
      </c>
      <c r="P334" s="28" t="s">
        <v>1567</v>
      </c>
      <c r="Q334" s="46">
        <v>22.4</v>
      </c>
      <c r="R334" s="46" t="s">
        <v>1568</v>
      </c>
      <c r="S334" s="47">
        <v>22</v>
      </c>
      <c r="T334" s="47">
        <v>0</v>
      </c>
      <c r="U334" s="47">
        <v>16</v>
      </c>
      <c r="V334" s="553">
        <v>0</v>
      </c>
      <c r="W334" s="28">
        <v>2.3029999999999999</v>
      </c>
      <c r="X334" s="618" t="s">
        <v>1823</v>
      </c>
      <c r="Y334" s="11"/>
    </row>
    <row r="335" spans="1:25" ht="42.75" customHeight="1" x14ac:dyDescent="0.2">
      <c r="A335" s="621" t="s">
        <v>1569</v>
      </c>
      <c r="B335" s="24" t="s">
        <v>1570</v>
      </c>
      <c r="C335" s="25" t="s">
        <v>848</v>
      </c>
      <c r="D335" s="674" t="s">
        <v>1571</v>
      </c>
      <c r="E335" s="611">
        <v>36.997999999999998</v>
      </c>
      <c r="F335" s="72" t="s">
        <v>1711</v>
      </c>
      <c r="G335" s="74">
        <v>0</v>
      </c>
      <c r="H335" s="72">
        <v>0</v>
      </c>
      <c r="I335" s="73">
        <v>0</v>
      </c>
      <c r="J335" s="73">
        <v>0</v>
      </c>
      <c r="K335" s="73">
        <v>0</v>
      </c>
      <c r="L335" s="73">
        <v>0</v>
      </c>
      <c r="M335" s="74">
        <v>0</v>
      </c>
      <c r="N335" s="74"/>
      <c r="O335" s="46">
        <v>16.100000000000001</v>
      </c>
      <c r="P335" s="40" t="s">
        <v>1714</v>
      </c>
      <c r="Q335" s="40"/>
      <c r="R335" s="40"/>
      <c r="S335" s="70"/>
      <c r="T335" s="70"/>
      <c r="U335" s="70"/>
      <c r="V335" s="70"/>
      <c r="W335" s="40"/>
      <c r="X335" s="637"/>
      <c r="Y335" s="11"/>
    </row>
    <row r="336" spans="1:25" ht="20.100000000000001" customHeight="1" x14ac:dyDescent="0.2">
      <c r="A336" s="621" t="s">
        <v>1573</v>
      </c>
      <c r="B336" s="24" t="s">
        <v>1574</v>
      </c>
      <c r="C336" s="25" t="s">
        <v>848</v>
      </c>
      <c r="D336" s="674" t="s">
        <v>1575</v>
      </c>
      <c r="E336" s="611">
        <v>1.119</v>
      </c>
      <c r="F336" s="71" t="s">
        <v>1576</v>
      </c>
      <c r="G336" s="79">
        <v>0</v>
      </c>
      <c r="H336" s="71">
        <v>0</v>
      </c>
      <c r="I336" s="78">
        <v>0</v>
      </c>
      <c r="J336" s="78">
        <v>0</v>
      </c>
      <c r="K336" s="78">
        <v>0</v>
      </c>
      <c r="L336" s="78">
        <v>0</v>
      </c>
      <c r="M336" s="79">
        <v>0</v>
      </c>
      <c r="N336" s="79">
        <v>0</v>
      </c>
      <c r="O336" s="80"/>
      <c r="P336" s="27"/>
      <c r="Q336" s="27"/>
      <c r="R336" s="27"/>
      <c r="S336" s="37"/>
      <c r="T336" s="37"/>
      <c r="U336" s="37"/>
      <c r="V336" s="37"/>
      <c r="W336" s="27"/>
      <c r="X336" s="629"/>
      <c r="Y336" s="11"/>
    </row>
    <row r="337" spans="1:25" ht="20.100000000000001" customHeight="1" x14ac:dyDescent="0.2">
      <c r="A337" s="621" t="s">
        <v>1577</v>
      </c>
      <c r="B337" s="24" t="s">
        <v>1578</v>
      </c>
      <c r="C337" s="25" t="s">
        <v>848</v>
      </c>
      <c r="D337" s="674" t="s">
        <v>1579</v>
      </c>
      <c r="E337" s="608"/>
      <c r="F337" s="33"/>
      <c r="G337" s="69"/>
      <c r="H337" s="33"/>
      <c r="I337" s="37"/>
      <c r="J337" s="37"/>
      <c r="K337" s="37"/>
      <c r="L337" s="37"/>
      <c r="M337" s="69"/>
      <c r="N337" s="69"/>
      <c r="O337" s="46">
        <v>4.8000000000000007</v>
      </c>
      <c r="P337" s="29" t="s">
        <v>1580</v>
      </c>
      <c r="Q337" s="30"/>
      <c r="R337" s="30"/>
      <c r="S337" s="31"/>
      <c r="T337" s="31"/>
      <c r="U337" s="31"/>
      <c r="V337" s="31"/>
      <c r="W337" s="30">
        <v>0</v>
      </c>
      <c r="X337" s="614"/>
      <c r="Y337" s="11"/>
    </row>
    <row r="338" spans="1:25" ht="21" x14ac:dyDescent="0.2">
      <c r="A338" s="621" t="s">
        <v>1581</v>
      </c>
      <c r="B338" s="24" t="s">
        <v>1582</v>
      </c>
      <c r="C338" s="25" t="s">
        <v>848</v>
      </c>
      <c r="D338" s="674" t="s">
        <v>1583</v>
      </c>
      <c r="E338" s="611">
        <v>16.905000000000001</v>
      </c>
      <c r="F338" s="71" t="s">
        <v>1585</v>
      </c>
      <c r="G338" s="79">
        <v>0</v>
      </c>
      <c r="H338" s="71">
        <v>0</v>
      </c>
      <c r="I338" s="78">
        <v>0</v>
      </c>
      <c r="J338" s="78">
        <v>0</v>
      </c>
      <c r="K338" s="78">
        <v>0</v>
      </c>
      <c r="L338" s="78">
        <v>0</v>
      </c>
      <c r="M338" s="79">
        <v>0</v>
      </c>
      <c r="N338" s="79"/>
      <c r="O338" s="46">
        <v>10.693</v>
      </c>
      <c r="P338" s="29" t="s">
        <v>1584</v>
      </c>
      <c r="Q338" s="29"/>
      <c r="R338" s="29"/>
      <c r="S338" s="68"/>
      <c r="T338" s="68"/>
      <c r="U338" s="68"/>
      <c r="V338" s="68"/>
      <c r="W338" s="29"/>
      <c r="X338" s="630"/>
      <c r="Y338" s="11"/>
    </row>
    <row r="339" spans="1:25" ht="25.5" customHeight="1" x14ac:dyDescent="0.2">
      <c r="A339" s="621" t="s">
        <v>1587</v>
      </c>
      <c r="B339" s="24" t="s">
        <v>1588</v>
      </c>
      <c r="C339" s="25" t="s">
        <v>848</v>
      </c>
      <c r="D339" s="674" t="s">
        <v>1589</v>
      </c>
      <c r="E339" s="611">
        <v>24.483000000000004</v>
      </c>
      <c r="F339" s="71" t="s">
        <v>1591</v>
      </c>
      <c r="G339" s="79">
        <f>130.702-112.162</f>
        <v>18.539999999999992</v>
      </c>
      <c r="H339" s="71" t="s">
        <v>1712</v>
      </c>
      <c r="I339" s="78">
        <v>30</v>
      </c>
      <c r="J339" s="78">
        <v>0</v>
      </c>
      <c r="K339" s="78">
        <v>2</v>
      </c>
      <c r="L339" s="78">
        <v>0</v>
      </c>
      <c r="M339" s="79">
        <f>(112.162-111.7)+(137.9-130.702)</f>
        <v>7.6600000000000108</v>
      </c>
      <c r="N339" s="79" t="s">
        <v>1713</v>
      </c>
      <c r="O339" s="46">
        <v>0.47699999999998965</v>
      </c>
      <c r="P339" s="29" t="s">
        <v>1590</v>
      </c>
      <c r="Q339" s="29"/>
      <c r="R339" s="29"/>
      <c r="S339" s="68"/>
      <c r="T339" s="68"/>
      <c r="U339" s="68"/>
      <c r="V339" s="68"/>
      <c r="W339" s="29"/>
      <c r="X339" s="630"/>
      <c r="Y339" s="11"/>
    </row>
    <row r="340" spans="1:25" ht="20.100000000000001" customHeight="1" x14ac:dyDescent="0.2">
      <c r="A340" s="621" t="s">
        <v>1592</v>
      </c>
      <c r="B340" s="24" t="s">
        <v>1593</v>
      </c>
      <c r="C340" s="25" t="s">
        <v>848</v>
      </c>
      <c r="D340" s="674" t="s">
        <v>1594</v>
      </c>
      <c r="E340" s="611">
        <v>0.35699999999999998</v>
      </c>
      <c r="F340" s="71" t="s">
        <v>1593</v>
      </c>
      <c r="G340" s="79">
        <v>0</v>
      </c>
      <c r="H340" s="71">
        <v>0</v>
      </c>
      <c r="I340" s="78">
        <v>0</v>
      </c>
      <c r="J340" s="78">
        <v>0</v>
      </c>
      <c r="K340" s="78">
        <v>0</v>
      </c>
      <c r="L340" s="78">
        <v>0</v>
      </c>
      <c r="M340" s="79">
        <v>0</v>
      </c>
      <c r="N340" s="79"/>
      <c r="O340" s="541"/>
      <c r="P340" s="27"/>
      <c r="Q340" s="27"/>
      <c r="R340" s="27"/>
      <c r="S340" s="37"/>
      <c r="T340" s="37"/>
      <c r="U340" s="37"/>
      <c r="V340" s="37"/>
      <c r="W340" s="27"/>
      <c r="X340" s="629"/>
      <c r="Y340" s="11"/>
    </row>
    <row r="341" spans="1:25" ht="21" x14ac:dyDescent="0.2">
      <c r="A341" s="621" t="s">
        <v>1596</v>
      </c>
      <c r="B341" s="24" t="s">
        <v>1597</v>
      </c>
      <c r="C341" s="25" t="s">
        <v>848</v>
      </c>
      <c r="D341" s="674" t="s">
        <v>1598</v>
      </c>
      <c r="E341" s="611"/>
      <c r="F341" s="71"/>
      <c r="G341" s="79">
        <v>0</v>
      </c>
      <c r="H341" s="71">
        <v>0</v>
      </c>
      <c r="I341" s="78">
        <v>0</v>
      </c>
      <c r="J341" s="78">
        <v>0</v>
      </c>
      <c r="K341" s="78">
        <v>0</v>
      </c>
      <c r="L341" s="78">
        <v>0</v>
      </c>
      <c r="M341" s="79">
        <v>0</v>
      </c>
      <c r="N341" s="79"/>
      <c r="O341" s="46">
        <v>7.9130000000000003</v>
      </c>
      <c r="P341" s="29" t="s">
        <v>1597</v>
      </c>
      <c r="Q341" s="29"/>
      <c r="R341" s="29"/>
      <c r="S341" s="68"/>
      <c r="T341" s="68"/>
      <c r="U341" s="68"/>
      <c r="V341" s="68"/>
      <c r="W341" s="29"/>
      <c r="X341" s="630"/>
      <c r="Y341" s="11"/>
    </row>
    <row r="342" spans="1:25" ht="21" x14ac:dyDescent="0.2">
      <c r="A342" s="621" t="s">
        <v>1600</v>
      </c>
      <c r="B342" s="24" t="s">
        <v>1601</v>
      </c>
      <c r="C342" s="25" t="s">
        <v>848</v>
      </c>
      <c r="D342" s="674" t="s">
        <v>1602</v>
      </c>
      <c r="E342" s="669"/>
      <c r="F342" s="33"/>
      <c r="G342" s="69"/>
      <c r="H342" s="33"/>
      <c r="I342" s="37"/>
      <c r="J342" s="37"/>
      <c r="K342" s="37"/>
      <c r="L342" s="37"/>
      <c r="M342" s="69"/>
      <c r="N342" s="69"/>
      <c r="O342" s="46">
        <v>2.379</v>
      </c>
      <c r="P342" s="135" t="s">
        <v>1603</v>
      </c>
      <c r="Q342" s="136"/>
      <c r="R342" s="136"/>
      <c r="S342" s="137"/>
      <c r="T342" s="137"/>
      <c r="U342" s="137"/>
      <c r="V342" s="137"/>
      <c r="W342" s="136">
        <v>0</v>
      </c>
      <c r="X342" s="649"/>
      <c r="Y342" s="11"/>
    </row>
    <row r="343" spans="1:25" ht="105" x14ac:dyDescent="0.2">
      <c r="A343" s="621" t="s">
        <v>1604</v>
      </c>
      <c r="B343" s="498" t="s">
        <v>1605</v>
      </c>
      <c r="C343" s="25" t="s">
        <v>731</v>
      </c>
      <c r="D343" s="679" t="s">
        <v>1606</v>
      </c>
      <c r="E343" s="611">
        <v>0.746</v>
      </c>
      <c r="F343" s="76" t="s">
        <v>1608</v>
      </c>
      <c r="G343" s="76"/>
      <c r="H343" s="76"/>
      <c r="I343" s="78"/>
      <c r="J343" s="78"/>
      <c r="K343" s="78"/>
      <c r="L343" s="78"/>
      <c r="M343" s="79"/>
      <c r="N343" s="76"/>
      <c r="O343" s="46">
        <v>22.260999999999999</v>
      </c>
      <c r="P343" s="40" t="s">
        <v>1607</v>
      </c>
      <c r="Q343" s="480">
        <v>12.5</v>
      </c>
      <c r="R343" s="62" t="s">
        <v>1687</v>
      </c>
      <c r="S343" s="63">
        <v>21</v>
      </c>
      <c r="T343" s="63">
        <v>0</v>
      </c>
      <c r="U343" s="63">
        <v>21</v>
      </c>
      <c r="V343" s="63">
        <v>0</v>
      </c>
      <c r="W343" s="480">
        <v>9.6999999999999993</v>
      </c>
      <c r="X343" s="620" t="s">
        <v>1688</v>
      </c>
      <c r="Y343" s="11"/>
    </row>
    <row r="344" spans="1:25" ht="20.100000000000001" customHeight="1" thickBot="1" x14ac:dyDescent="0.25">
      <c r="A344" s="685" t="s">
        <v>1609</v>
      </c>
      <c r="B344" s="650" t="s">
        <v>1610</v>
      </c>
      <c r="C344" s="651" t="s">
        <v>731</v>
      </c>
      <c r="D344" s="680" t="s">
        <v>1611</v>
      </c>
      <c r="E344" s="670">
        <v>10.66</v>
      </c>
      <c r="F344" s="652" t="s">
        <v>1612</v>
      </c>
      <c r="G344" s="653"/>
      <c r="H344" s="652"/>
      <c r="I344" s="653"/>
      <c r="J344" s="653"/>
      <c r="K344" s="653"/>
      <c r="L344" s="653"/>
      <c r="M344" s="654">
        <v>10.66</v>
      </c>
      <c r="N344" s="653" t="s">
        <v>1612</v>
      </c>
      <c r="O344" s="655"/>
      <c r="P344" s="656"/>
      <c r="Q344" s="657"/>
      <c r="R344" s="657"/>
      <c r="S344" s="658"/>
      <c r="T344" s="658"/>
      <c r="U344" s="658"/>
      <c r="V344" s="658"/>
      <c r="W344" s="657"/>
      <c r="X344" s="659"/>
      <c r="Y344" s="11"/>
    </row>
    <row r="345" spans="1:25" ht="31.5" customHeight="1" x14ac:dyDescent="0.2"/>
    <row r="348" spans="1:25" x14ac:dyDescent="0.2">
      <c r="I348" s="660"/>
    </row>
    <row r="349" spans="1:25" x14ac:dyDescent="0.2">
      <c r="I349" s="660"/>
    </row>
  </sheetData>
  <mergeCells count="3">
    <mergeCell ref="O1:X1"/>
    <mergeCell ref="E1:N1"/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1u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Vybíralová Veronika, Mgr.</cp:lastModifiedBy>
  <dcterms:created xsi:type="dcterms:W3CDTF">2022-01-27T13:41:30Z</dcterms:created>
  <dcterms:modified xsi:type="dcterms:W3CDTF">2022-01-27T13:42:15Z</dcterms:modified>
</cp:coreProperties>
</file>